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 activeTab="3"/>
  </bookViews>
  <sheets>
    <sheet name="7-11 лет" sheetId="1" r:id="rId1"/>
    <sheet name="12 и старше" sheetId="2" r:id="rId2"/>
    <sheet name="до 3 лет" sheetId="3" r:id="rId3"/>
    <sheet name="3-7 лет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H21" i="2"/>
  <c r="G21" i="2"/>
  <c r="F21" i="2"/>
  <c r="I19" i="2"/>
  <c r="H19" i="2"/>
  <c r="G19" i="2"/>
  <c r="F19" i="2"/>
  <c r="I18" i="2"/>
  <c r="H18" i="2"/>
  <c r="G18" i="2"/>
  <c r="F18" i="2"/>
  <c r="I16" i="2"/>
  <c r="H16" i="2"/>
  <c r="G16" i="2"/>
  <c r="F16" i="2"/>
  <c r="I15" i="2"/>
  <c r="H15" i="2"/>
  <c r="G15" i="2"/>
  <c r="F15" i="2"/>
  <c r="I14" i="2"/>
  <c r="H14" i="2"/>
  <c r="G14" i="2"/>
  <c r="F14" i="2"/>
  <c r="I26" i="1"/>
  <c r="H26" i="1"/>
  <c r="G26" i="1"/>
  <c r="F26" i="1"/>
  <c r="I24" i="1"/>
  <c r="H24" i="1"/>
  <c r="G24" i="1"/>
  <c r="F24" i="1"/>
  <c r="I23" i="1"/>
  <c r="H23" i="1"/>
  <c r="G23" i="1"/>
  <c r="F23" i="1"/>
  <c r="I21" i="1"/>
  <c r="H21" i="1"/>
  <c r="G21" i="1"/>
  <c r="F21" i="1"/>
  <c r="I20" i="1"/>
  <c r="H20" i="1"/>
  <c r="G20" i="1"/>
  <c r="F20" i="1"/>
  <c r="I19" i="1"/>
  <c r="H19" i="1"/>
  <c r="G19" i="1"/>
  <c r="F19" i="1"/>
  <c r="I16" i="1"/>
  <c r="H16" i="1"/>
  <c r="G16" i="1"/>
  <c r="F16" i="1"/>
  <c r="I14" i="1"/>
  <c r="H14" i="1"/>
  <c r="G14" i="1"/>
  <c r="F14" i="1"/>
  <c r="I12" i="1"/>
  <c r="H12" i="1"/>
  <c r="G12" i="1"/>
  <c r="F12" i="1"/>
  <c r="I29" i="3" l="1"/>
  <c r="H29" i="3"/>
  <c r="G29" i="3"/>
  <c r="F29" i="3"/>
  <c r="I28" i="3"/>
  <c r="H28" i="3"/>
  <c r="G28" i="3"/>
  <c r="F28" i="3"/>
  <c r="I27" i="3"/>
  <c r="H27" i="3"/>
  <c r="G27" i="3"/>
  <c r="F27" i="3"/>
  <c r="I25" i="3"/>
  <c r="H25" i="3"/>
  <c r="G25" i="3"/>
  <c r="F25" i="3"/>
  <c r="I24" i="3"/>
  <c r="H24" i="3"/>
  <c r="G24" i="3"/>
  <c r="F24" i="3"/>
  <c r="I23" i="3"/>
  <c r="H23" i="3"/>
  <c r="G23" i="3"/>
  <c r="F23" i="3"/>
  <c r="I22" i="3"/>
  <c r="H22" i="3"/>
  <c r="G22" i="3"/>
  <c r="F22" i="3"/>
  <c r="I21" i="3"/>
  <c r="H21" i="3"/>
  <c r="G21" i="3"/>
  <c r="F21" i="3"/>
  <c r="I20" i="3"/>
  <c r="H20" i="3"/>
  <c r="G20" i="3"/>
  <c r="F20" i="3"/>
  <c r="I19" i="3"/>
  <c r="H19" i="3"/>
  <c r="G19" i="3"/>
  <c r="F19" i="3"/>
  <c r="I17" i="3"/>
  <c r="H17" i="3"/>
  <c r="G17" i="3"/>
  <c r="F17" i="3"/>
  <c r="I14" i="3"/>
  <c r="H14" i="3"/>
  <c r="G14" i="3"/>
  <c r="F14" i="3"/>
  <c r="I13" i="3"/>
  <c r="H13" i="3"/>
  <c r="G13" i="3"/>
  <c r="F13" i="3"/>
  <c r="I12" i="3"/>
  <c r="H12" i="3"/>
  <c r="G12" i="3"/>
  <c r="F12" i="3"/>
  <c r="I29" i="4"/>
  <c r="H29" i="4"/>
  <c r="G29" i="4"/>
  <c r="F29" i="4"/>
  <c r="I28" i="4"/>
  <c r="H28" i="4"/>
  <c r="G28" i="4"/>
  <c r="F28" i="4"/>
  <c r="I27" i="4"/>
  <c r="H27" i="4"/>
  <c r="G27" i="4"/>
  <c r="F27" i="4"/>
  <c r="I25" i="4"/>
  <c r="H25" i="4"/>
  <c r="G25" i="4"/>
  <c r="F25" i="4"/>
  <c r="I24" i="4"/>
  <c r="H24" i="4"/>
  <c r="G24" i="4"/>
  <c r="F24" i="4"/>
  <c r="I23" i="4"/>
  <c r="H23" i="4"/>
  <c r="G23" i="4"/>
  <c r="F23" i="4"/>
  <c r="I22" i="4"/>
  <c r="H22" i="4"/>
  <c r="G22" i="4"/>
  <c r="F22" i="4"/>
  <c r="I21" i="4"/>
  <c r="H21" i="4"/>
  <c r="G21" i="4"/>
  <c r="F21" i="4"/>
  <c r="I20" i="4"/>
  <c r="H20" i="4"/>
  <c r="G20" i="4"/>
  <c r="F20" i="4"/>
  <c r="I19" i="4"/>
  <c r="H19" i="4"/>
  <c r="G19" i="4"/>
  <c r="F19" i="4"/>
  <c r="I17" i="4"/>
  <c r="H17" i="4"/>
  <c r="G17" i="4"/>
  <c r="F17" i="4"/>
  <c r="I14" i="4"/>
  <c r="H14" i="4"/>
  <c r="G14" i="4"/>
  <c r="F14" i="4"/>
  <c r="I13" i="4"/>
  <c r="H13" i="4"/>
  <c r="G13" i="4"/>
  <c r="F13" i="4"/>
  <c r="I12" i="4"/>
  <c r="H12" i="4"/>
  <c r="G12" i="4"/>
  <c r="F12" i="4"/>
</calcChain>
</file>

<file path=xl/sharedStrings.xml><?xml version="1.0" encoding="utf-8"?>
<sst xmlns="http://schemas.openxmlformats.org/spreadsheetml/2006/main" count="201" uniqueCount="82">
  <si>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</si>
  <si>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</si>
  <si>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</si>
  <si>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</si>
  <si>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</si>
  <si>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</si>
  <si>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</si>
  <si>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</si>
  <si>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</si>
  <si>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</si>
  <si>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</si>
  <si>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</si>
  <si>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</t>
  </si>
  <si>
    <t>№ рец.</t>
  </si>
  <si>
    <t>Выход, г</t>
  </si>
  <si>
    <t>МБОУ "КСОШ им.Героя РФ С.В.Перца"</t>
  </si>
  <si>
    <t>7-11 лет</t>
  </si>
  <si>
    <t>полдник</t>
  </si>
  <si>
    <t>Утверждено</t>
  </si>
  <si>
    <t>Директор школы</t>
  </si>
  <si>
    <t>_____Ю.П.Артиева</t>
  </si>
  <si>
    <t>Б</t>
  </si>
  <si>
    <t>Ж</t>
  </si>
  <si>
    <t>У</t>
  </si>
  <si>
    <t>кКал</t>
  </si>
  <si>
    <t>Хлеб пшеничный</t>
  </si>
  <si>
    <t>12 лет и старше</t>
  </si>
  <si>
    <t>хлеб пшеничный</t>
  </si>
  <si>
    <t>хлеб ржаной</t>
  </si>
  <si>
    <t>до 3 лет</t>
  </si>
  <si>
    <t>№ 122</t>
  </si>
  <si>
    <t>II завтрак:</t>
  </si>
  <si>
    <t>Полдник</t>
  </si>
  <si>
    <t>Дошкольное отделение</t>
  </si>
  <si>
    <t>Хлеб ржаной</t>
  </si>
  <si>
    <t>3-7 лет</t>
  </si>
  <si>
    <t>хлеб пшеничн.</t>
  </si>
  <si>
    <t>№126</t>
  </si>
  <si>
    <t>№ 123</t>
  </si>
  <si>
    <t>Пудинг творожный запеченный</t>
  </si>
  <si>
    <t>Чай с лимоном</t>
  </si>
  <si>
    <t>№ 329</t>
  </si>
  <si>
    <t>№ 506</t>
  </si>
  <si>
    <t>Плоды свежие (банан)</t>
  </si>
  <si>
    <t>Овощи натуральные (огурец)</t>
  </si>
  <si>
    <t>№120</t>
  </si>
  <si>
    <t>Рассольник ленингградский</t>
  </si>
  <si>
    <t>Каша гречневая рассыпчатая</t>
  </si>
  <si>
    <t>Гуляш из говядины</t>
  </si>
  <si>
    <t>Компот из  плодов или ягод сушеных (изюм)</t>
  </si>
  <si>
    <t>№ 252</t>
  </si>
  <si>
    <t>№ 378</t>
  </si>
  <si>
    <t>№ 526</t>
  </si>
  <si>
    <t>№148</t>
  </si>
  <si>
    <t>Салат из моркови и яблок</t>
  </si>
  <si>
    <t>Яйца вареные</t>
  </si>
  <si>
    <t>Сок фруктовый</t>
  </si>
  <si>
    <t>№ 8</t>
  </si>
  <si>
    <t>№ 310</t>
  </si>
  <si>
    <t>№ 532</t>
  </si>
  <si>
    <t>№ 153</t>
  </si>
  <si>
    <t>№54-3гн</t>
  </si>
  <si>
    <t>чай с лимоном с сахаром</t>
  </si>
  <si>
    <t xml:space="preserve">яйцо вареное </t>
  </si>
  <si>
    <t>№89</t>
  </si>
  <si>
    <t>банан</t>
  </si>
  <si>
    <t>№ 42</t>
  </si>
  <si>
    <t>Рассольник  "Ленинградский"</t>
  </si>
  <si>
    <t>№ 219</t>
  </si>
  <si>
    <t>№ 54-33м</t>
  </si>
  <si>
    <t>гуляш из оленины</t>
  </si>
  <si>
    <t>№139</t>
  </si>
  <si>
    <t>Четверг</t>
  </si>
  <si>
    <t>№ 246</t>
  </si>
  <si>
    <t>Гарнир</t>
  </si>
  <si>
    <t>№ 280</t>
  </si>
  <si>
    <t>Компот из плодов или ягод сушеных (изюм)</t>
  </si>
  <si>
    <t>№ 313</t>
  </si>
  <si>
    <t>булочка дорожная</t>
  </si>
  <si>
    <t>№ 293</t>
  </si>
  <si>
    <t xml:space="preserve">сок фруктовый 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</si>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</sst>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0">
    <xf numFmtId="0" fontId="0" fillId="0" borderId="0" xfId="0"/>
    <xf numFmtId="0" fontId="0" fillId="0" borderId="1" xfId="0" applyBorder="1"/>
    <xf numFmtId="0" fontId="1" fillId="0" borderId="3" xfId="0" applyFont="1" applyBorder="1"/>
    <xf numFmtId="0" fontId="1" fillId="0" borderId="1" xfId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14" fontId="6" fillId="2" borderId="0" xfId="0" applyNumberFormat="1" applyFont="1" applyFill="1" applyProtection="1">
      <protection locked="0"/>
    </xf>
    <xf numFmtId="0" fontId="5" fillId="2" borderId="0" xfId="0" applyFont="1" applyFill="1"/>
    <xf numFmtId="0" fontId="6" fillId="0" borderId="5" xfId="0" applyFont="1" applyBorder="1"/>
    <xf numFmtId="0" fontId="5" fillId="0" borderId="7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0" borderId="8" xfId="0" applyFont="1" applyBorder="1"/>
    <xf numFmtId="0" fontId="5" fillId="2" borderId="9" xfId="0" applyFont="1" applyFill="1" applyBorder="1" applyProtection="1"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6" fillId="0" borderId="7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2" xfId="0" applyFont="1" applyBorder="1"/>
    <xf numFmtId="0" fontId="6" fillId="0" borderId="10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2" xfId="0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>
      <alignment horizontal="center" vertical="center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/>
    </xf>
    <xf numFmtId="0" fontId="5" fillId="2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6" fillId="2" borderId="0" xfId="0" applyFont="1" applyFill="1" applyAlignment="1" applyProtection="1">
      <alignment horizontal="center"/>
      <protection locked="0"/>
    </xf>
    <xf numFmtId="0" fontId="9" fillId="2" borderId="1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4" fillId="0" borderId="1" xfId="0" applyFont="1" applyBorder="1"/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2" fillId="2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3" fillId="2" borderId="12" xfId="0" applyFont="1" applyFill="1" applyBorder="1" applyProtection="1">
      <protection locked="0"/>
    </xf>
    <xf numFmtId="0" fontId="1" fillId="0" borderId="3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right" vertical="center"/>
    </xf>
    <xf numFmtId="2" fontId="1" fillId="0" borderId="12" xfId="0" applyNumberFormat="1" applyFont="1" applyBorder="1"/>
    <xf numFmtId="2" fontId="1" fillId="0" borderId="12" xfId="0" applyNumberFormat="1" applyFont="1" applyBorder="1" applyAlignment="1">
      <alignment horizontal="right"/>
    </xf>
    <xf numFmtId="2" fontId="1" fillId="0" borderId="15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vertical="center"/>
    </xf>
    <xf numFmtId="0" fontId="5" fillId="2" borderId="16" xfId="0" applyFont="1" applyFill="1" applyBorder="1" applyAlignment="1" applyProtection="1">
      <alignment vertical="center"/>
      <protection locked="0"/>
    </xf>
    <xf numFmtId="0" fontId="7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horizontal="right" vertical="center"/>
    </xf>
    <xf numFmtId="2" fontId="7" fillId="0" borderId="1" xfId="0" applyNumberFormat="1" applyFont="1" applyBorder="1"/>
    <xf numFmtId="2" fontId="7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vertical="center"/>
    </xf>
    <xf numFmtId="0" fontId="7" fillId="2" borderId="3" xfId="0" applyFont="1" applyFill="1" applyBorder="1"/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2" fontId="7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7" fillId="2" borderId="3" xfId="0" applyFont="1" applyFill="1" applyBorder="1" applyAlignment="1">
      <alignment vertical="center" wrapText="1"/>
    </xf>
    <xf numFmtId="0" fontId="0" fillId="0" borderId="0" xfId="0"/>
    <xf numFmtId="0" fontId="7" fillId="2" borderId="1" xfId="0" applyFont="1" applyFill="1" applyBorder="1" applyAlignment="1">
      <alignment horizontal="right" vertical="top" wrapText="1"/>
    </xf>
    <xf numFmtId="2" fontId="7" fillId="2" borderId="1" xfId="0" applyNumberFormat="1" applyFont="1" applyFill="1" applyBorder="1" applyAlignment="1">
      <alignment horizontal="right" vertical="top" wrapText="1"/>
    </xf>
    <xf numFmtId="2" fontId="16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" fontId="7" fillId="2" borderId="1" xfId="0" applyNumberFormat="1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0" fontId="0" fillId="0" borderId="17" xfId="0" applyBorder="1"/>
    <xf numFmtId="0" fontId="0" fillId="0" borderId="3" xfId="0" applyBorder="1"/>
    <xf numFmtId="0" fontId="0" fillId="0" borderId="0" xfId="0" applyFont="1" applyAlignment="1">
      <alignment horizontal="left" vertical="center"/>
    </xf>
    <xf numFmtId="0" fontId="12" fillId="2" borderId="9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/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3" xfId="0" applyFont="1" applyFill="1" applyBorder="1"/>
    <xf numFmtId="0" fontId="1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Border="1"/>
    <xf numFmtId="0" fontId="1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7" fillId="2" borderId="3" xfId="0" applyFont="1" applyFill="1" applyBorder="1" applyAlignment="1">
      <alignment wrapText="1"/>
    </xf>
    <xf numFmtId="0" fontId="12" fillId="0" borderId="1" xfId="0" applyFont="1" applyBorder="1" applyAlignment="1">
      <alignment horizontal="left" vertical="center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 vertical="center"/>
    </xf>
    <xf numFmtId="0" fontId="12" fillId="2" borderId="9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Protection="1">
      <protection locked="0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I27"/>
  <sheetViews>
    <sheetView topLeftCell="A2" zoomScaleNormal="100" workbookViewId="0">
      <selection activeCell="R18" sqref="R18"/>
    </sheetView>
  </sheetViews>
  <sheetFormatPr defaultRowHeight="15" x14ac:dyDescent="0.25"/>
  <cols>
    <col min="1" max="1" width="10.28515625" customWidth="1"/>
    <col min="2" max="2" width="11.5703125" customWidth="1"/>
    <col min="3" max="3" width="8" customWidth="1"/>
    <col min="4" max="4" width="27" customWidth="1"/>
    <col min="5" max="5" width="8.42578125" customWidth="1"/>
    <col min="6" max="6" width="7.7109375" customWidth="1"/>
    <col min="7" max="7" width="7" customWidth="1"/>
    <col min="8" max="8" width="8.28515625" customWidth="1"/>
  </cols>
  <sheetData>
    <row r="3" spans="1:9" ht="18.75" x14ac:dyDescent="0.3">
      <c r="A3" s="4"/>
      <c r="B3" s="4"/>
      <c r="C3" s="4"/>
      <c r="D3" s="4"/>
      <c r="G3" s="131" t="s">
        <v>18</v>
      </c>
      <c r="H3" s="131"/>
      <c r="I3" s="131"/>
    </row>
    <row r="4" spans="1:9" ht="15.75" x14ac:dyDescent="0.25">
      <c r="A4" s="4"/>
      <c r="B4" s="4"/>
      <c r="C4" s="4"/>
      <c r="D4" s="4"/>
      <c r="G4" s="132" t="s">
        <v>19</v>
      </c>
      <c r="H4" s="132"/>
      <c r="I4" s="132"/>
    </row>
    <row r="5" spans="1:9" ht="15.75" x14ac:dyDescent="0.25">
      <c r="A5" s="4"/>
      <c r="B5" s="4"/>
      <c r="C5" s="4"/>
      <c r="D5" s="4"/>
      <c r="G5" s="133" t="s">
        <v>20</v>
      </c>
      <c r="H5" s="133"/>
      <c r="I5" s="133"/>
    </row>
    <row r="6" spans="1:9" ht="15.75" x14ac:dyDescent="0.25">
      <c r="A6" s="4"/>
      <c r="B6" s="4"/>
      <c r="C6" s="4"/>
      <c r="D6" s="4"/>
      <c r="E6" s="39"/>
      <c r="F6" s="39"/>
    </row>
    <row r="7" spans="1:9" ht="15.75" x14ac:dyDescent="0.25">
      <c r="A7" s="4"/>
      <c r="B7" s="4"/>
      <c r="C7" s="4"/>
      <c r="D7" s="4"/>
      <c r="E7" s="39"/>
      <c r="F7" s="39"/>
      <c r="H7" s="134" t="s">
        <v>72</v>
      </c>
      <c r="I7" s="134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5" t="s">
        <v>0</v>
      </c>
      <c r="B9" s="130" t="s">
        <v>15</v>
      </c>
      <c r="C9" s="130"/>
      <c r="D9" s="130"/>
      <c r="E9" s="7" t="s">
        <v>16</v>
      </c>
      <c r="F9" s="7">
        <v>9</v>
      </c>
      <c r="G9" s="6" t="s">
        <v>1</v>
      </c>
      <c r="H9" s="8"/>
    </row>
    <row r="10" spans="1:9" ht="7.5" customHeight="1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32.25" thickBot="1" x14ac:dyDescent="0.3">
      <c r="A11" s="23" t="s">
        <v>2</v>
      </c>
      <c r="B11" s="24" t="s">
        <v>3</v>
      </c>
      <c r="C11" s="24" t="s">
        <v>13</v>
      </c>
      <c r="D11" s="24" t="s">
        <v>4</v>
      </c>
      <c r="E11" s="26" t="s">
        <v>14</v>
      </c>
      <c r="F11" s="25" t="s">
        <v>21</v>
      </c>
      <c r="G11" s="25" t="s">
        <v>22</v>
      </c>
      <c r="H11" s="33" t="s">
        <v>23</v>
      </c>
      <c r="I11" s="36" t="s">
        <v>24</v>
      </c>
    </row>
    <row r="12" spans="1:9" ht="31.5" x14ac:dyDescent="0.25">
      <c r="A12" s="10" t="s">
        <v>5</v>
      </c>
      <c r="B12" s="40" t="s">
        <v>6</v>
      </c>
      <c r="C12" s="111" t="s">
        <v>60</v>
      </c>
      <c r="D12" s="55" t="s">
        <v>39</v>
      </c>
      <c r="E12" s="44">
        <v>200</v>
      </c>
      <c r="F12" s="70">
        <f>E12*24.26/200</f>
        <v>24.26</v>
      </c>
      <c r="G12" s="70">
        <f>E12*8.31/200</f>
        <v>8.31</v>
      </c>
      <c r="H12" s="70">
        <f>E12*39.75/200</f>
        <v>39.75</v>
      </c>
      <c r="I12" s="70">
        <f>E12*330.81/200</f>
        <v>330.81</v>
      </c>
    </row>
    <row r="13" spans="1:9" ht="31.5" x14ac:dyDescent="0.25">
      <c r="A13" s="11"/>
      <c r="B13" s="41" t="s">
        <v>7</v>
      </c>
      <c r="C13" s="112" t="s">
        <v>61</v>
      </c>
      <c r="D13" s="63" t="s">
        <v>62</v>
      </c>
      <c r="E13" s="109">
        <v>200</v>
      </c>
      <c r="F13" s="110">
        <v>0.3</v>
      </c>
      <c r="G13" s="110">
        <v>0</v>
      </c>
      <c r="H13" s="110">
        <v>6.7</v>
      </c>
      <c r="I13" s="110">
        <v>27.9</v>
      </c>
    </row>
    <row r="14" spans="1:9" ht="15.75" x14ac:dyDescent="0.25">
      <c r="A14" s="11"/>
      <c r="B14" s="12"/>
      <c r="C14" s="57"/>
      <c r="D14" s="2" t="s">
        <v>27</v>
      </c>
      <c r="E14" s="28">
        <v>25</v>
      </c>
      <c r="F14" s="37">
        <f>E14*6.9/100</f>
        <v>1.7250000000000001</v>
      </c>
      <c r="G14" s="38">
        <f>1*E14/100</f>
        <v>0.25</v>
      </c>
      <c r="H14" s="38">
        <f>E14*48.3/100</f>
        <v>12.074999999999999</v>
      </c>
      <c r="I14" s="38">
        <f>E14*235/100</f>
        <v>58.75</v>
      </c>
    </row>
    <row r="15" spans="1:9" ht="15.75" x14ac:dyDescent="0.25">
      <c r="A15" s="11"/>
      <c r="B15" s="14"/>
      <c r="C15" s="57" t="s">
        <v>71</v>
      </c>
      <c r="D15" s="2" t="s">
        <v>63</v>
      </c>
      <c r="E15" s="27">
        <v>40</v>
      </c>
      <c r="F15" s="108">
        <v>5.08</v>
      </c>
      <c r="G15" s="108">
        <v>4.5999999999999996</v>
      </c>
      <c r="H15" s="108">
        <v>0.28000000000000003</v>
      </c>
      <c r="I15" s="108">
        <v>62.8</v>
      </c>
    </row>
    <row r="16" spans="1:9" ht="16.5" thickBot="1" x14ac:dyDescent="0.3">
      <c r="A16" s="15"/>
      <c r="B16" s="16"/>
      <c r="C16" s="57" t="s">
        <v>64</v>
      </c>
      <c r="D16" s="2" t="s">
        <v>65</v>
      </c>
      <c r="E16" s="28">
        <v>150</v>
      </c>
      <c r="F16" s="27">
        <f>1.5*E16/100</f>
        <v>2.25</v>
      </c>
      <c r="G16" s="27">
        <f>E16*0.1/100</f>
        <v>0.15</v>
      </c>
      <c r="H16" s="27">
        <f>E16*21/100</f>
        <v>31.5</v>
      </c>
      <c r="I16" s="27">
        <f>E16*89/100</f>
        <v>133.5</v>
      </c>
    </row>
    <row r="17" spans="1:9" ht="15.75" x14ac:dyDescent="0.25">
      <c r="A17" s="11"/>
      <c r="B17" s="14"/>
      <c r="C17" s="57"/>
      <c r="D17" s="2"/>
      <c r="E17" s="28"/>
      <c r="F17" s="37"/>
      <c r="G17" s="38"/>
      <c r="H17" s="38"/>
      <c r="I17" s="38"/>
    </row>
    <row r="18" spans="1:9" ht="32.25" customHeight="1" x14ac:dyDescent="0.25">
      <c r="A18" s="18" t="s">
        <v>8</v>
      </c>
      <c r="B18" s="43" t="s">
        <v>9</v>
      </c>
      <c r="C18" s="113" t="s">
        <v>73</v>
      </c>
      <c r="D18" s="55" t="s">
        <v>44</v>
      </c>
      <c r="E18" s="44">
        <v>100</v>
      </c>
      <c r="F18" s="66">
        <v>0.8</v>
      </c>
      <c r="G18" s="66">
        <v>0.1</v>
      </c>
      <c r="H18" s="66">
        <v>3.3</v>
      </c>
      <c r="I18" s="66">
        <v>14</v>
      </c>
    </row>
    <row r="19" spans="1:9" ht="15.75" x14ac:dyDescent="0.25">
      <c r="A19" s="11"/>
      <c r="B19" s="30" t="s">
        <v>10</v>
      </c>
      <c r="C19" s="42" t="s">
        <v>66</v>
      </c>
      <c r="D19" s="2" t="s">
        <v>67</v>
      </c>
      <c r="E19" s="27">
        <v>200</v>
      </c>
      <c r="F19" s="37">
        <f>E19*5.03/250</f>
        <v>4.024</v>
      </c>
      <c r="G19" s="37">
        <f>E19*11.3/250</f>
        <v>9.0399999999999991</v>
      </c>
      <c r="H19" s="37">
        <f>E19*32.28/250</f>
        <v>25.824000000000002</v>
      </c>
      <c r="I19" s="37">
        <f>E19*149.6/250</f>
        <v>119.68</v>
      </c>
    </row>
    <row r="20" spans="1:9" ht="15.75" x14ac:dyDescent="0.25">
      <c r="A20" s="11"/>
      <c r="B20" t="s">
        <v>74</v>
      </c>
      <c r="C20" s="42" t="s">
        <v>68</v>
      </c>
      <c r="D20" s="2" t="s">
        <v>47</v>
      </c>
      <c r="E20" s="28">
        <v>150</v>
      </c>
      <c r="F20" s="37">
        <f>E20*5.82/100</f>
        <v>8.73</v>
      </c>
      <c r="G20" s="38">
        <f>E20*3.62/100</f>
        <v>5.43</v>
      </c>
      <c r="H20" s="38">
        <f>E20*30/100</f>
        <v>45</v>
      </c>
      <c r="I20" s="38">
        <f>E20*175.87/100</f>
        <v>263.80500000000001</v>
      </c>
    </row>
    <row r="21" spans="1:9" ht="15.75" x14ac:dyDescent="0.25">
      <c r="A21" s="11"/>
      <c r="B21" s="31" t="s">
        <v>11</v>
      </c>
      <c r="C21" s="42" t="s">
        <v>69</v>
      </c>
      <c r="D21" s="2" t="s">
        <v>70</v>
      </c>
      <c r="E21" s="28">
        <v>100</v>
      </c>
      <c r="F21" s="37">
        <f>E21*17.8/100</f>
        <v>17.8</v>
      </c>
      <c r="G21" s="37">
        <f>E21*10.3/100</f>
        <v>10.3</v>
      </c>
      <c r="H21" s="37">
        <f>E21*4/100</f>
        <v>4</v>
      </c>
      <c r="I21" s="37">
        <f>E21*180.3/100</f>
        <v>180.3</v>
      </c>
    </row>
    <row r="22" spans="1:9" ht="31.5" x14ac:dyDescent="0.25">
      <c r="A22" s="11"/>
      <c r="B22" s="32"/>
      <c r="C22" s="81" t="s">
        <v>75</v>
      </c>
      <c r="D22" s="65" t="s">
        <v>76</v>
      </c>
      <c r="E22" s="28">
        <v>200</v>
      </c>
      <c r="F22" s="37">
        <v>0.33</v>
      </c>
      <c r="G22" s="37">
        <v>0</v>
      </c>
      <c r="H22" s="37">
        <v>22.66</v>
      </c>
      <c r="I22" s="37">
        <v>91.98</v>
      </c>
    </row>
    <row r="23" spans="1:9" ht="15.75" x14ac:dyDescent="0.25">
      <c r="A23" s="11"/>
      <c r="B23" s="12"/>
      <c r="C23" s="48"/>
      <c r="D23" s="2" t="s">
        <v>36</v>
      </c>
      <c r="E23" s="28">
        <v>30</v>
      </c>
      <c r="F23" s="37">
        <f>E23*6.9/100</f>
        <v>2.0699999999999998</v>
      </c>
      <c r="G23" s="38">
        <f>1*E23/100</f>
        <v>0.3</v>
      </c>
      <c r="H23" s="38">
        <f>E23*48.3/100</f>
        <v>14.49</v>
      </c>
      <c r="I23" s="38">
        <f>E23*235/100</f>
        <v>70.5</v>
      </c>
    </row>
    <row r="24" spans="1:9" ht="15.75" x14ac:dyDescent="0.25">
      <c r="A24" s="11"/>
      <c r="B24" s="19"/>
      <c r="C24" s="48"/>
      <c r="D24" s="2" t="s">
        <v>28</v>
      </c>
      <c r="E24" s="28">
        <v>50</v>
      </c>
      <c r="F24" s="37">
        <f>E24*4.8/100</f>
        <v>2.4</v>
      </c>
      <c r="G24" s="38">
        <f>E24*1/100</f>
        <v>0.5</v>
      </c>
      <c r="H24" s="38">
        <f>E24*21.2/50</f>
        <v>21.2</v>
      </c>
      <c r="I24" s="38">
        <f>E24*100/50</f>
        <v>100</v>
      </c>
    </row>
    <row r="25" spans="1:9" ht="16.5" thickBot="1" x14ac:dyDescent="0.3">
      <c r="A25" s="11"/>
      <c r="B25" s="19"/>
      <c r="C25" s="48"/>
      <c r="D25" s="2"/>
      <c r="E25" s="28"/>
      <c r="F25" s="67"/>
      <c r="G25" s="68"/>
      <c r="H25" s="69"/>
      <c r="I25" s="38"/>
    </row>
    <row r="26" spans="1:9" ht="15.75" x14ac:dyDescent="0.25">
      <c r="A26" s="86" t="s">
        <v>17</v>
      </c>
      <c r="B26" s="14"/>
      <c r="C26" s="114" t="s">
        <v>77</v>
      </c>
      <c r="D26" s="2" t="s">
        <v>78</v>
      </c>
      <c r="E26" s="28">
        <v>55</v>
      </c>
      <c r="F26" s="37">
        <f>E26*4.13/60</f>
        <v>3.7858333333333336</v>
      </c>
      <c r="G26" s="37">
        <f>E26*8/60</f>
        <v>7.333333333333333</v>
      </c>
      <c r="H26" s="37">
        <f>E26*34.12/60</f>
        <v>31.276666666666664</v>
      </c>
      <c r="I26" s="37">
        <f>E26*345/60</f>
        <v>316.25</v>
      </c>
    </row>
    <row r="27" spans="1:9" ht="15.75" x14ac:dyDescent="0.25">
      <c r="A27" s="22"/>
      <c r="B27" s="19"/>
      <c r="C27" s="115" t="s">
        <v>79</v>
      </c>
      <c r="D27" s="116" t="s">
        <v>80</v>
      </c>
      <c r="E27" s="28">
        <v>200</v>
      </c>
      <c r="F27" s="117">
        <v>2</v>
      </c>
      <c r="G27" s="117">
        <v>0.2</v>
      </c>
      <c r="H27" s="117">
        <v>5.8</v>
      </c>
      <c r="I27" s="117">
        <v>36</v>
      </c>
    </row>
  </sheetData>
  <mergeCells count="5">
    <mergeCell ref="B9:D9"/>
    <mergeCell ref="G3:I3"/>
    <mergeCell ref="G4:I4"/>
    <mergeCell ref="G5:I5"/>
    <mergeCell ref="H7:I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2"/>
  <sheetViews>
    <sheetView workbookViewId="0">
      <selection activeCell="M9" sqref="M9"/>
    </sheetView>
  </sheetViews>
  <sheetFormatPr defaultRowHeight="15" x14ac:dyDescent="0.25"/>
  <cols>
    <col min="3" max="3" width="6.85546875" customWidth="1"/>
    <col min="4" max="4" width="26.5703125" customWidth="1"/>
    <col min="5" max="5" width="7.7109375" customWidth="1"/>
    <col min="8" max="8" width="11.28515625" bestFit="1" customWidth="1"/>
  </cols>
  <sheetData>
    <row r="3" spans="1:9" ht="18.75" x14ac:dyDescent="0.3">
      <c r="A3" s="4"/>
      <c r="B3" s="4"/>
      <c r="C3" s="4"/>
      <c r="D3" s="4"/>
      <c r="G3" s="131" t="s">
        <v>18</v>
      </c>
      <c r="H3" s="131"/>
      <c r="I3" s="131"/>
    </row>
    <row r="4" spans="1:9" ht="15.75" x14ac:dyDescent="0.25">
      <c r="A4" s="4"/>
      <c r="B4" s="4"/>
      <c r="C4" s="4"/>
      <c r="D4" s="4"/>
      <c r="G4" s="132" t="s">
        <v>19</v>
      </c>
      <c r="H4" s="132"/>
      <c r="I4" s="132"/>
    </row>
    <row r="5" spans="1:9" ht="19.5" customHeight="1" x14ac:dyDescent="0.25">
      <c r="A5" s="4"/>
      <c r="B5" s="4"/>
      <c r="C5" s="4"/>
      <c r="D5" s="4"/>
      <c r="G5" s="133" t="s">
        <v>20</v>
      </c>
      <c r="H5" s="133"/>
      <c r="I5" s="133"/>
    </row>
    <row r="6" spans="1:9" ht="15.75" x14ac:dyDescent="0.25">
      <c r="A6" s="4"/>
      <c r="B6" s="4"/>
      <c r="C6" s="4"/>
      <c r="D6" s="4"/>
      <c r="E6" s="39"/>
      <c r="F6" s="39"/>
    </row>
    <row r="7" spans="1:9" ht="28.5" customHeight="1" x14ac:dyDescent="0.25">
      <c r="A7" s="4"/>
      <c r="B7" s="4"/>
      <c r="C7" s="4"/>
      <c r="D7" s="4"/>
      <c r="E7" s="39"/>
      <c r="F7" s="39"/>
      <c r="H7" s="136" t="s">
        <v>72</v>
      </c>
      <c r="I7" s="136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5" t="s">
        <v>0</v>
      </c>
      <c r="B9" s="130" t="s">
        <v>15</v>
      </c>
      <c r="C9" s="130"/>
      <c r="D9" s="130"/>
      <c r="E9" s="135" t="s">
        <v>26</v>
      </c>
      <c r="F9" s="135"/>
      <c r="G9" s="135"/>
      <c r="H9" s="45">
        <v>9</v>
      </c>
      <c r="I9" s="6" t="s">
        <v>1</v>
      </c>
    </row>
    <row r="10" spans="1:9" ht="20.25" customHeight="1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28.5" customHeight="1" x14ac:dyDescent="0.25">
      <c r="A11" s="23" t="s">
        <v>2</v>
      </c>
      <c r="B11" s="24" t="s">
        <v>3</v>
      </c>
      <c r="C11" s="24" t="s">
        <v>13</v>
      </c>
      <c r="D11" s="24" t="s">
        <v>4</v>
      </c>
      <c r="E11" s="46" t="s">
        <v>14</v>
      </c>
      <c r="F11" s="25" t="s">
        <v>21</v>
      </c>
      <c r="G11" s="25" t="s">
        <v>22</v>
      </c>
      <c r="H11" s="33" t="s">
        <v>23</v>
      </c>
      <c r="I11" s="36" t="s">
        <v>24</v>
      </c>
    </row>
    <row r="12" spans="1:9" ht="15.75" x14ac:dyDescent="0.25">
      <c r="A12" s="19"/>
      <c r="B12" s="14"/>
      <c r="C12" s="74"/>
      <c r="D12" s="2"/>
      <c r="E12" s="28"/>
      <c r="F12" s="37"/>
      <c r="G12" s="38"/>
      <c r="H12" s="38"/>
      <c r="I12" s="38"/>
    </row>
    <row r="13" spans="1:9" ht="32.25" customHeight="1" x14ac:dyDescent="0.25">
      <c r="A13" s="76" t="s">
        <v>8</v>
      </c>
      <c r="B13" s="75" t="s">
        <v>9</v>
      </c>
      <c r="C13" s="113" t="s">
        <v>73</v>
      </c>
      <c r="D13" s="55" t="s">
        <v>44</v>
      </c>
      <c r="E13" s="44">
        <v>100</v>
      </c>
      <c r="F13" s="66">
        <v>0.8</v>
      </c>
      <c r="G13" s="66">
        <v>0.1</v>
      </c>
      <c r="H13" s="66">
        <v>3.3</v>
      </c>
      <c r="I13" s="66">
        <v>14</v>
      </c>
    </row>
    <row r="14" spans="1:9" ht="15.75" x14ac:dyDescent="0.25">
      <c r="A14" s="11"/>
      <c r="B14" s="73" t="s">
        <v>10</v>
      </c>
      <c r="C14" s="42" t="s">
        <v>66</v>
      </c>
      <c r="D14" s="2" t="s">
        <v>67</v>
      </c>
      <c r="E14" s="27">
        <v>250</v>
      </c>
      <c r="F14" s="37">
        <f>E14*5.03/250</f>
        <v>5.03</v>
      </c>
      <c r="G14" s="37">
        <f>E14*11.3/250</f>
        <v>11.3</v>
      </c>
      <c r="H14" s="37">
        <f>E14*32.28/250</f>
        <v>32.28</v>
      </c>
      <c r="I14" s="37">
        <f>E14*149.6/250</f>
        <v>149.6</v>
      </c>
    </row>
    <row r="15" spans="1:9" ht="15.75" x14ac:dyDescent="0.25">
      <c r="A15" s="11"/>
      <c r="B15" s="31" t="s">
        <v>11</v>
      </c>
      <c r="C15" s="42" t="s">
        <v>68</v>
      </c>
      <c r="D15" s="2" t="s">
        <v>47</v>
      </c>
      <c r="E15" s="28">
        <v>180</v>
      </c>
      <c r="F15" s="37">
        <f>E15*5.82/100</f>
        <v>10.476000000000001</v>
      </c>
      <c r="G15" s="38">
        <f>E15*3.62/100</f>
        <v>6.516</v>
      </c>
      <c r="H15" s="38">
        <f>E15*30/100</f>
        <v>54</v>
      </c>
      <c r="I15" s="38">
        <f>E15*175.87/100</f>
        <v>316.56600000000003</v>
      </c>
    </row>
    <row r="16" spans="1:9" s="94" customFormat="1" ht="15.75" x14ac:dyDescent="0.25">
      <c r="A16" s="11"/>
      <c r="B16" s="31"/>
      <c r="C16" s="42" t="s">
        <v>69</v>
      </c>
      <c r="D16" s="2" t="s">
        <v>70</v>
      </c>
      <c r="E16" s="28">
        <v>100</v>
      </c>
      <c r="F16" s="37">
        <f>E16*17.8/100</f>
        <v>17.8</v>
      </c>
      <c r="G16" s="37">
        <f>E16*10.3/100</f>
        <v>10.3</v>
      </c>
      <c r="H16" s="37">
        <f>E16*4/100</f>
        <v>4</v>
      </c>
      <c r="I16" s="37">
        <f>E16*180.3/100</f>
        <v>180.3</v>
      </c>
    </row>
    <row r="17" spans="1:9" ht="18.75" customHeight="1" x14ac:dyDescent="0.25">
      <c r="A17" s="11"/>
      <c r="B17" s="31"/>
      <c r="C17" s="42" t="s">
        <v>75</v>
      </c>
      <c r="D17" s="65" t="s">
        <v>76</v>
      </c>
      <c r="E17" s="28">
        <v>200</v>
      </c>
      <c r="F17" s="37">
        <v>0.33</v>
      </c>
      <c r="G17" s="37">
        <v>0</v>
      </c>
      <c r="H17" s="37">
        <v>22.66</v>
      </c>
      <c r="I17" s="37">
        <v>91.98</v>
      </c>
    </row>
    <row r="18" spans="1:9" ht="15.75" x14ac:dyDescent="0.25">
      <c r="A18" s="11"/>
      <c r="B18" s="32"/>
      <c r="C18" s="48"/>
      <c r="D18" s="2" t="s">
        <v>36</v>
      </c>
      <c r="E18" s="28">
        <v>50</v>
      </c>
      <c r="F18" s="37">
        <f>E18*6.9/100</f>
        <v>3.45</v>
      </c>
      <c r="G18" s="38">
        <f>1*E18/100</f>
        <v>0.5</v>
      </c>
      <c r="H18" s="38">
        <f>E18*48.3/100</f>
        <v>24.15</v>
      </c>
      <c r="I18" s="38">
        <f>E18*235/100</f>
        <v>117.5</v>
      </c>
    </row>
    <row r="19" spans="1:9" ht="15.75" x14ac:dyDescent="0.25">
      <c r="A19" s="11"/>
      <c r="B19" s="12"/>
      <c r="C19" s="48"/>
      <c r="D19" s="2" t="s">
        <v>28</v>
      </c>
      <c r="E19" s="28">
        <v>60</v>
      </c>
      <c r="F19" s="37">
        <f>E19*4.8/100</f>
        <v>2.88</v>
      </c>
      <c r="G19" s="38">
        <f>E19*1/100</f>
        <v>0.6</v>
      </c>
      <c r="H19" s="38">
        <f>E19*21.2/50</f>
        <v>25.44</v>
      </c>
      <c r="I19" s="38">
        <f>E19*100/50</f>
        <v>120</v>
      </c>
    </row>
    <row r="20" spans="1:9" ht="15.75" x14ac:dyDescent="0.25">
      <c r="A20" s="11"/>
      <c r="B20" s="19"/>
      <c r="C20" s="13"/>
      <c r="D20" s="19"/>
      <c r="E20" s="20"/>
      <c r="F20" s="21"/>
      <c r="G20" s="21"/>
      <c r="H20" s="35"/>
      <c r="I20" s="1"/>
    </row>
    <row r="21" spans="1:9" ht="15.75" x14ac:dyDescent="0.25">
      <c r="A21" s="80" t="s">
        <v>32</v>
      </c>
      <c r="B21" s="14"/>
      <c r="C21" s="114" t="s">
        <v>77</v>
      </c>
      <c r="D21" s="2" t="s">
        <v>78</v>
      </c>
      <c r="E21" s="28">
        <v>65</v>
      </c>
      <c r="F21" s="37">
        <f>E21*4.13/60</f>
        <v>4.4741666666666662</v>
      </c>
      <c r="G21" s="37">
        <f>E21*8/60</f>
        <v>8.6666666666666661</v>
      </c>
      <c r="H21" s="37">
        <f>E21*34.12/60</f>
        <v>36.963333333333331</v>
      </c>
      <c r="I21" s="37">
        <f>E21*345/60</f>
        <v>373.75</v>
      </c>
    </row>
    <row r="22" spans="1:9" ht="15.75" x14ac:dyDescent="0.25">
      <c r="A22" s="22"/>
      <c r="B22" s="19"/>
      <c r="C22" s="28" t="s">
        <v>79</v>
      </c>
      <c r="D22" s="2" t="s">
        <v>80</v>
      </c>
      <c r="E22" s="28">
        <v>200</v>
      </c>
      <c r="F22" s="27">
        <v>2</v>
      </c>
      <c r="G22" s="27">
        <v>0.2</v>
      </c>
      <c r="H22" s="27">
        <v>5.8</v>
      </c>
      <c r="I22" s="27">
        <v>36</v>
      </c>
    </row>
  </sheetData>
  <mergeCells count="6">
    <mergeCell ref="B9:D9"/>
    <mergeCell ref="E9:G9"/>
    <mergeCell ref="G3:I3"/>
    <mergeCell ref="G4:I4"/>
    <mergeCell ref="G5:I5"/>
    <mergeCell ref="H7:I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M16" sqref="M16"/>
    </sheetView>
  </sheetViews>
  <sheetFormatPr defaultRowHeight="15" x14ac:dyDescent="0.25"/>
  <cols>
    <col min="2" max="2" width="9.140625" customWidth="1"/>
    <col min="3" max="3" width="7" customWidth="1"/>
    <col min="4" max="4" width="21.7109375" customWidth="1"/>
    <col min="5" max="5" width="7" customWidth="1"/>
    <col min="6" max="6" width="7.85546875" customWidth="1"/>
    <col min="7" max="7" width="7.42578125" customWidth="1"/>
    <col min="8" max="8" width="8.28515625" customWidth="1"/>
    <col min="9" max="9" width="8.140625" customWidth="1"/>
  </cols>
  <sheetData>
    <row r="1" spans="1:10" x14ac:dyDescent="0.25">
      <c r="A1" s="137" t="s">
        <v>15</v>
      </c>
      <c r="B1" s="137"/>
      <c r="C1" s="137"/>
      <c r="D1" s="137"/>
      <c r="E1" s="137"/>
      <c r="F1" s="137"/>
      <c r="G1" s="137"/>
      <c r="H1" s="137"/>
      <c r="I1" s="137"/>
    </row>
    <row r="3" spans="1:10" ht="18.75" x14ac:dyDescent="0.3">
      <c r="A3" s="4"/>
      <c r="B3" s="4"/>
      <c r="C3" s="4"/>
      <c r="D3" s="4"/>
      <c r="G3" s="131" t="s">
        <v>18</v>
      </c>
      <c r="H3" s="131"/>
      <c r="I3" s="131"/>
    </row>
    <row r="4" spans="1:10" ht="15.75" x14ac:dyDescent="0.25">
      <c r="A4" s="4"/>
      <c r="B4" s="4"/>
      <c r="C4" s="4"/>
      <c r="D4" s="4"/>
      <c r="G4" s="132" t="s">
        <v>19</v>
      </c>
      <c r="H4" s="132"/>
      <c r="I4" s="132"/>
    </row>
    <row r="5" spans="1:10" ht="15.75" x14ac:dyDescent="0.25">
      <c r="A5" s="4"/>
      <c r="B5" s="4"/>
      <c r="C5" s="4"/>
      <c r="D5" s="4"/>
      <c r="G5" s="133" t="s">
        <v>20</v>
      </c>
      <c r="H5" s="133"/>
      <c r="I5" s="133"/>
    </row>
    <row r="6" spans="1:10" ht="15.75" x14ac:dyDescent="0.25">
      <c r="A6" s="4"/>
      <c r="B6" s="4"/>
      <c r="C6" s="4"/>
      <c r="D6" s="4"/>
      <c r="E6" s="39"/>
      <c r="F6" s="39"/>
    </row>
    <row r="7" spans="1:10" ht="15.75" x14ac:dyDescent="0.25">
      <c r="A7" s="139" t="s">
        <v>33</v>
      </c>
      <c r="B7" s="138"/>
      <c r="C7" s="138"/>
      <c r="D7" s="138"/>
      <c r="E7" s="39"/>
      <c r="F7" s="39"/>
      <c r="H7" s="134" t="s">
        <v>72</v>
      </c>
      <c r="I7" s="134"/>
    </row>
    <row r="8" spans="1:10" ht="15.75" x14ac:dyDescent="0.25">
      <c r="A8" s="4"/>
      <c r="B8" s="4"/>
      <c r="C8" s="4"/>
      <c r="D8" s="4"/>
      <c r="E8" s="4"/>
      <c r="F8" s="4"/>
      <c r="G8" s="4"/>
      <c r="H8" s="4"/>
    </row>
    <row r="9" spans="1:10" ht="15.75" x14ac:dyDescent="0.25">
      <c r="A9" s="139"/>
      <c r="B9" s="138"/>
      <c r="C9" s="138"/>
      <c r="D9" s="138"/>
      <c r="E9" s="135" t="s">
        <v>29</v>
      </c>
      <c r="F9" s="138"/>
      <c r="G9" s="138"/>
      <c r="H9" s="45">
        <v>9</v>
      </c>
      <c r="I9" t="s">
        <v>1</v>
      </c>
    </row>
    <row r="10" spans="1:10" ht="16.5" thickBot="1" x14ac:dyDescent="0.3">
      <c r="A10" s="4"/>
      <c r="B10" s="9"/>
      <c r="C10" s="9"/>
      <c r="D10" s="9"/>
      <c r="E10" s="9"/>
      <c r="F10" s="9"/>
      <c r="G10" s="9"/>
      <c r="H10" s="9"/>
    </row>
    <row r="11" spans="1:10" ht="32.25" thickBot="1" x14ac:dyDescent="0.3">
      <c r="A11" s="23" t="s">
        <v>2</v>
      </c>
      <c r="B11" s="24" t="s">
        <v>3</v>
      </c>
      <c r="C11" s="24" t="s">
        <v>13</v>
      </c>
      <c r="D11" s="24" t="s">
        <v>4</v>
      </c>
      <c r="E11" s="26" t="s">
        <v>14</v>
      </c>
      <c r="F11" s="25" t="s">
        <v>21</v>
      </c>
      <c r="G11" s="25" t="s">
        <v>22</v>
      </c>
      <c r="H11" s="33" t="s">
        <v>23</v>
      </c>
      <c r="I11" s="36" t="s">
        <v>24</v>
      </c>
    </row>
    <row r="12" spans="1:10" ht="30" x14ac:dyDescent="0.25">
      <c r="A12" s="86" t="s">
        <v>5</v>
      </c>
      <c r="B12" s="49" t="s">
        <v>6</v>
      </c>
      <c r="C12" s="92" t="s">
        <v>41</v>
      </c>
      <c r="D12" s="93" t="s">
        <v>39</v>
      </c>
      <c r="E12" s="83">
        <v>90</v>
      </c>
      <c r="F12" s="89">
        <f>E12*22.34/150</f>
        <v>13.404</v>
      </c>
      <c r="G12" s="89">
        <f>E12*14.92/150</f>
        <v>8.952</v>
      </c>
      <c r="H12" s="89">
        <f>E12*34.47/150</f>
        <v>20.681999999999999</v>
      </c>
      <c r="I12" s="89">
        <f>E12*333.89/150</f>
        <v>200.334</v>
      </c>
      <c r="J12" s="118"/>
    </row>
    <row r="13" spans="1:10" ht="30" x14ac:dyDescent="0.25">
      <c r="A13" s="11"/>
      <c r="B13" s="50" t="s">
        <v>7</v>
      </c>
      <c r="C13" s="92" t="s">
        <v>42</v>
      </c>
      <c r="D13" s="90" t="s">
        <v>40</v>
      </c>
      <c r="E13" s="106">
        <v>150</v>
      </c>
      <c r="F13" s="107">
        <f>E13*0.06/200</f>
        <v>4.4999999999999998E-2</v>
      </c>
      <c r="G13" s="107">
        <f>E13*0.01/200</f>
        <v>7.4999999999999997E-3</v>
      </c>
      <c r="H13" s="107">
        <f>E13*15.25/200</f>
        <v>11.4375</v>
      </c>
      <c r="I13" s="107">
        <f>E13*62.5/200</f>
        <v>46.875</v>
      </c>
      <c r="J13" s="119"/>
    </row>
    <row r="14" spans="1:10" ht="15.75" x14ac:dyDescent="0.25">
      <c r="A14" s="11"/>
      <c r="B14" s="51" t="s">
        <v>12</v>
      </c>
      <c r="C14" s="42" t="s">
        <v>30</v>
      </c>
      <c r="D14" s="87" t="s">
        <v>25</v>
      </c>
      <c r="E14" s="77">
        <v>10</v>
      </c>
      <c r="F14" s="89">
        <f>E14*7.6/100</f>
        <v>0.76</v>
      </c>
      <c r="G14" s="91">
        <f>E14*0.8/100</f>
        <v>0.08</v>
      </c>
      <c r="H14" s="91">
        <f>E14*49.2/100</f>
        <v>4.92</v>
      </c>
      <c r="I14" s="91">
        <f>E14*235/100</f>
        <v>23.5</v>
      </c>
      <c r="J14" s="120"/>
    </row>
    <row r="15" spans="1:10" ht="16.5" thickBot="1" x14ac:dyDescent="0.3">
      <c r="A15" s="15"/>
      <c r="B15" s="62"/>
      <c r="C15" s="57"/>
      <c r="D15" s="2"/>
      <c r="E15" s="28"/>
      <c r="F15" s="28"/>
      <c r="G15" s="27"/>
      <c r="H15" s="27"/>
      <c r="I15" s="27"/>
      <c r="J15" s="120"/>
    </row>
    <row r="16" spans="1:10" ht="15.75" x14ac:dyDescent="0.25">
      <c r="A16" s="11"/>
      <c r="B16" s="52"/>
      <c r="C16" s="57"/>
      <c r="D16" s="2"/>
      <c r="E16" s="28"/>
      <c r="F16" s="38"/>
      <c r="G16" s="38"/>
      <c r="H16" s="38"/>
      <c r="I16" s="38"/>
      <c r="J16" s="121"/>
    </row>
    <row r="17" spans="1:10" ht="15.75" x14ac:dyDescent="0.25">
      <c r="A17" s="61" t="s">
        <v>31</v>
      </c>
      <c r="B17" s="71"/>
      <c r="C17" s="104" t="s">
        <v>37</v>
      </c>
      <c r="D17" s="82" t="s">
        <v>43</v>
      </c>
      <c r="E17" s="47">
        <v>95</v>
      </c>
      <c r="F17" s="85">
        <f>E17*1.5/100</f>
        <v>1.425</v>
      </c>
      <c r="G17" s="85">
        <f>E17*0.1/100</f>
        <v>9.5000000000000001E-2</v>
      </c>
      <c r="H17" s="85">
        <f>E17*21/100</f>
        <v>19.95</v>
      </c>
      <c r="I17" s="85">
        <f>E17*89/100</f>
        <v>84.55</v>
      </c>
      <c r="J17" s="121"/>
    </row>
    <row r="18" spans="1:10" ht="19.5" thickBot="1" x14ac:dyDescent="0.35">
      <c r="A18" s="15"/>
      <c r="B18" s="16"/>
      <c r="C18" s="105"/>
      <c r="D18" s="29"/>
      <c r="E18" s="3"/>
      <c r="F18" s="17"/>
      <c r="G18" s="17"/>
      <c r="H18" s="34"/>
      <c r="I18" s="53"/>
      <c r="J18" s="122"/>
    </row>
    <row r="19" spans="1:10" ht="30" x14ac:dyDescent="0.25">
      <c r="A19" s="79" t="s">
        <v>8</v>
      </c>
      <c r="B19" s="43" t="s">
        <v>9</v>
      </c>
      <c r="C19" s="81" t="s">
        <v>45</v>
      </c>
      <c r="D19" s="72" t="s">
        <v>44</v>
      </c>
      <c r="E19" s="77">
        <v>40</v>
      </c>
      <c r="F19" s="97">
        <f>E19*0.8/100</f>
        <v>0.32</v>
      </c>
      <c r="G19" s="97">
        <f>E19*0.1/100</f>
        <v>0.04</v>
      </c>
      <c r="H19" s="97">
        <f>E19*2.5/100</f>
        <v>1</v>
      </c>
      <c r="I19" s="97">
        <f>E19*14/100</f>
        <v>5.6</v>
      </c>
      <c r="J19" s="121"/>
    </row>
    <row r="20" spans="1:10" ht="30.75" x14ac:dyDescent="0.3">
      <c r="A20" s="11"/>
      <c r="B20" s="30" t="s">
        <v>10</v>
      </c>
      <c r="C20" s="92" t="s">
        <v>53</v>
      </c>
      <c r="D20" s="82" t="s">
        <v>46</v>
      </c>
      <c r="E20" s="83">
        <v>150</v>
      </c>
      <c r="F20" s="89">
        <f>E20*8.35/1000</f>
        <v>1.2524999999999999</v>
      </c>
      <c r="G20" s="89">
        <f>E20*21.49/1000</f>
        <v>3.2234999999999996</v>
      </c>
      <c r="H20" s="89">
        <f>E20*51.08/1000</f>
        <v>7.6619999999999999</v>
      </c>
      <c r="I20" s="89">
        <f>E20*489.37/1000</f>
        <v>73.405500000000004</v>
      </c>
      <c r="J20" s="122"/>
    </row>
    <row r="21" spans="1:10" ht="30" x14ac:dyDescent="0.25">
      <c r="A21" s="11"/>
      <c r="B21" s="54" t="s">
        <v>74</v>
      </c>
      <c r="C21" s="98" t="s">
        <v>50</v>
      </c>
      <c r="D21" s="82" t="s">
        <v>47</v>
      </c>
      <c r="E21" s="77">
        <v>100</v>
      </c>
      <c r="F21" s="89">
        <f>E21*57.02/1000</f>
        <v>5.702</v>
      </c>
      <c r="G21" s="89">
        <f>E21*52.3/1000</f>
        <v>5.23</v>
      </c>
      <c r="H21" s="89">
        <f>E21*49.2/1000</f>
        <v>4.92</v>
      </c>
      <c r="I21" s="89">
        <f>E21*1718.33/1000</f>
        <v>171.833</v>
      </c>
      <c r="J21" s="118"/>
    </row>
    <row r="22" spans="1:10" ht="15.75" x14ac:dyDescent="0.25">
      <c r="A22" s="11"/>
      <c r="B22" s="31" t="s">
        <v>11</v>
      </c>
      <c r="C22" s="98" t="s">
        <v>51</v>
      </c>
      <c r="D22" s="82" t="s">
        <v>48</v>
      </c>
      <c r="E22" s="83">
        <v>60</v>
      </c>
      <c r="F22" s="89">
        <f>E22*12.5/120</f>
        <v>6.25</v>
      </c>
      <c r="G22" s="91">
        <f>E22*14.34/120</f>
        <v>7.17</v>
      </c>
      <c r="H22" s="91">
        <f>E22*5.88/120</f>
        <v>2.94</v>
      </c>
      <c r="I22" s="91">
        <f>E22*202.58/120</f>
        <v>101.29</v>
      </c>
      <c r="J22" s="118"/>
    </row>
    <row r="23" spans="1:10" ht="30" x14ac:dyDescent="0.25">
      <c r="A23" s="11"/>
      <c r="B23" s="12"/>
      <c r="C23" s="98" t="s">
        <v>52</v>
      </c>
      <c r="D23" s="72" t="s">
        <v>49</v>
      </c>
      <c r="E23" s="77">
        <v>150</v>
      </c>
      <c r="F23" s="89">
        <f>E23*0.33/200</f>
        <v>0.2475</v>
      </c>
      <c r="G23" s="89">
        <f>E23*0.2/200</f>
        <v>0.15</v>
      </c>
      <c r="H23" s="89">
        <f>E23*21.87/200</f>
        <v>16.4025</v>
      </c>
      <c r="I23" s="89">
        <f>E23*90.58/200</f>
        <v>67.935000000000002</v>
      </c>
      <c r="J23" s="118"/>
    </row>
    <row r="24" spans="1:10" ht="15.75" x14ac:dyDescent="0.25">
      <c r="A24" s="11"/>
      <c r="B24" s="19"/>
      <c r="C24" s="77" t="s">
        <v>30</v>
      </c>
      <c r="D24" s="90" t="s">
        <v>25</v>
      </c>
      <c r="E24" s="77">
        <v>10</v>
      </c>
      <c r="F24" s="89">
        <f>E24*7.6/100</f>
        <v>0.76</v>
      </c>
      <c r="G24" s="91">
        <f>E24*0.8/100</f>
        <v>0.08</v>
      </c>
      <c r="H24" s="91">
        <f>E24*49.2/100</f>
        <v>4.92</v>
      </c>
      <c r="I24" s="91">
        <f>E24*235/100</f>
        <v>23.5</v>
      </c>
      <c r="J24" s="123"/>
    </row>
    <row r="25" spans="1:10" ht="15.75" x14ac:dyDescent="0.25">
      <c r="A25" s="4"/>
      <c r="B25" s="19"/>
      <c r="C25" s="98" t="s">
        <v>38</v>
      </c>
      <c r="D25" s="78" t="s">
        <v>34</v>
      </c>
      <c r="E25" s="77">
        <v>30</v>
      </c>
      <c r="F25" s="89">
        <f>E25*6.6/100</f>
        <v>1.98</v>
      </c>
      <c r="G25" s="91">
        <f>E25*1.2/100</f>
        <v>0.36</v>
      </c>
      <c r="H25" s="91">
        <f>E25*33.4/100</f>
        <v>10.02</v>
      </c>
      <c r="I25" s="91">
        <f>E25*174/100</f>
        <v>52.2</v>
      </c>
      <c r="J25" s="118"/>
    </row>
    <row r="26" spans="1:10" ht="15.75" x14ac:dyDescent="0.25">
      <c r="A26" s="4"/>
      <c r="B26" s="19"/>
      <c r="C26" s="58"/>
      <c r="D26" s="63"/>
      <c r="E26" s="44"/>
      <c r="F26" s="70"/>
      <c r="G26" s="56"/>
      <c r="H26" s="56"/>
      <c r="I26" s="56"/>
      <c r="J26" s="118"/>
    </row>
    <row r="27" spans="1:10" ht="30" x14ac:dyDescent="0.25">
      <c r="A27" s="60" t="s">
        <v>32</v>
      </c>
      <c r="B27" s="59"/>
      <c r="C27" s="92" t="s">
        <v>57</v>
      </c>
      <c r="D27" s="93" t="s">
        <v>54</v>
      </c>
      <c r="E27" s="99">
        <v>80</v>
      </c>
      <c r="F27" s="100">
        <f>E27*0.91/100</f>
        <v>0.72799999999999998</v>
      </c>
      <c r="G27" s="100">
        <f>E27*10.2/100</f>
        <v>8.16</v>
      </c>
      <c r="H27" s="100">
        <f>E27*7.15/100</f>
        <v>5.72</v>
      </c>
      <c r="I27" s="100">
        <f>E27*125.35/100</f>
        <v>100.28</v>
      </c>
      <c r="J27" s="118"/>
    </row>
    <row r="28" spans="1:10" ht="15.75" x14ac:dyDescent="0.25">
      <c r="A28" s="1"/>
      <c r="B28" s="1"/>
      <c r="C28" s="101" t="s">
        <v>58</v>
      </c>
      <c r="D28" s="87" t="s">
        <v>55</v>
      </c>
      <c r="E28" s="77">
        <v>20</v>
      </c>
      <c r="F28" s="89">
        <f>E28*5.1/40</f>
        <v>2.5499999999999998</v>
      </c>
      <c r="G28" s="89">
        <f>E28*4.6/40</f>
        <v>2.2999999999999998</v>
      </c>
      <c r="H28" s="89">
        <f>E28*0.3/40</f>
        <v>0.15</v>
      </c>
      <c r="I28" s="89">
        <f>E28*63/40</f>
        <v>31.5</v>
      </c>
      <c r="J28" s="118"/>
    </row>
    <row r="29" spans="1:10" ht="15.75" x14ac:dyDescent="0.25">
      <c r="A29" s="102"/>
      <c r="B29" s="103"/>
      <c r="C29" s="92" t="s">
        <v>59</v>
      </c>
      <c r="D29" s="87" t="s">
        <v>56</v>
      </c>
      <c r="E29" s="77">
        <v>150</v>
      </c>
      <c r="F29" s="91">
        <f>E29*0.5/100</f>
        <v>0.75</v>
      </c>
      <c r="G29" s="91">
        <f>E29*0.1/100</f>
        <v>0.15</v>
      </c>
      <c r="H29" s="91">
        <f>E29*10.1/100</f>
        <v>15.15</v>
      </c>
      <c r="I29" s="91">
        <f>E29*46/100</f>
        <v>69</v>
      </c>
      <c r="J29" s="124"/>
    </row>
  </sheetData>
  <mergeCells count="8">
    <mergeCell ref="A1:I1"/>
    <mergeCell ref="G3:I3"/>
    <mergeCell ref="G4:I4"/>
    <mergeCell ref="G5:I5"/>
    <mergeCell ref="E9:G9"/>
    <mergeCell ref="A9:D9"/>
    <mergeCell ref="A7:D7"/>
    <mergeCell ref="H7:I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3" workbookViewId="0">
      <selection activeCell="L16" sqref="L16"/>
    </sheetView>
  </sheetViews>
  <sheetFormatPr defaultRowHeight="15" x14ac:dyDescent="0.25"/>
  <cols>
    <col min="3" max="3" width="7.28515625" customWidth="1"/>
    <col min="4" max="4" width="18.85546875" customWidth="1"/>
  </cols>
  <sheetData>
    <row r="1" spans="1:9" x14ac:dyDescent="0.25">
      <c r="A1" s="137" t="s">
        <v>15</v>
      </c>
      <c r="B1" s="137"/>
      <c r="C1" s="137"/>
      <c r="D1" s="137"/>
      <c r="E1" s="137"/>
      <c r="F1" s="137"/>
      <c r="G1" s="137"/>
      <c r="H1" s="137"/>
      <c r="I1" s="137"/>
    </row>
    <row r="3" spans="1:9" ht="18.75" x14ac:dyDescent="0.3">
      <c r="A3" s="4"/>
      <c r="B3" s="4"/>
      <c r="C3" s="4"/>
      <c r="D3" s="4"/>
      <c r="G3" s="131" t="s">
        <v>18</v>
      </c>
      <c r="H3" s="131"/>
      <c r="I3" s="131"/>
    </row>
    <row r="4" spans="1:9" ht="15.75" x14ac:dyDescent="0.25">
      <c r="A4" s="4"/>
      <c r="B4" s="4"/>
      <c r="C4" s="4"/>
      <c r="D4" s="4"/>
      <c r="G4" s="132" t="s">
        <v>19</v>
      </c>
      <c r="H4" s="132"/>
      <c r="I4" s="132"/>
    </row>
    <row r="5" spans="1:9" ht="15.75" x14ac:dyDescent="0.25">
      <c r="A5" s="4"/>
      <c r="B5" s="4"/>
      <c r="C5" s="4"/>
      <c r="D5" s="4"/>
      <c r="G5" s="133" t="s">
        <v>20</v>
      </c>
      <c r="H5" s="133"/>
      <c r="I5" s="133"/>
    </row>
    <row r="6" spans="1:9" ht="15.75" x14ac:dyDescent="0.25">
      <c r="A6" s="4"/>
      <c r="B6" s="4"/>
      <c r="C6" s="4"/>
      <c r="D6" s="4"/>
      <c r="E6" s="39"/>
      <c r="F6" s="39"/>
    </row>
    <row r="7" spans="1:9" ht="15.75" x14ac:dyDescent="0.25">
      <c r="A7" s="139" t="s">
        <v>33</v>
      </c>
      <c r="B7" s="138"/>
      <c r="C7" s="138"/>
      <c r="D7" s="138"/>
      <c r="E7" s="39"/>
      <c r="F7" s="39"/>
      <c r="H7" s="134" t="s">
        <v>72</v>
      </c>
      <c r="I7" s="134"/>
    </row>
    <row r="8" spans="1:9" ht="15.75" x14ac:dyDescent="0.25">
      <c r="A8" s="4"/>
      <c r="B8" s="4"/>
      <c r="C8" s="4"/>
      <c r="D8" s="4"/>
      <c r="E8" s="4"/>
      <c r="F8" s="4"/>
      <c r="G8" s="4"/>
      <c r="H8" s="4"/>
    </row>
    <row r="9" spans="1:9" ht="15.75" x14ac:dyDescent="0.25">
      <c r="A9" s="139"/>
      <c r="B9" s="138"/>
      <c r="C9" s="138"/>
      <c r="D9" s="138"/>
      <c r="E9" s="135" t="s">
        <v>35</v>
      </c>
      <c r="F9" s="138"/>
      <c r="G9" s="138"/>
      <c r="H9" s="45">
        <v>9</v>
      </c>
      <c r="I9" t="s">
        <v>1</v>
      </c>
    </row>
    <row r="10" spans="1:9" ht="16.5" thickBot="1" x14ac:dyDescent="0.3">
      <c r="A10" s="4"/>
      <c r="B10" s="9"/>
      <c r="C10" s="9"/>
      <c r="D10" s="9"/>
      <c r="E10" s="9"/>
      <c r="F10" s="9"/>
      <c r="G10" s="9"/>
      <c r="H10" s="9"/>
    </row>
    <row r="11" spans="1:9" ht="32.25" thickBot="1" x14ac:dyDescent="0.3">
      <c r="A11" s="23" t="s">
        <v>2</v>
      </c>
      <c r="B11" s="24" t="s">
        <v>3</v>
      </c>
      <c r="C11" s="24" t="s">
        <v>13</v>
      </c>
      <c r="D11" s="24" t="s">
        <v>4</v>
      </c>
      <c r="E11" s="26" t="s">
        <v>14</v>
      </c>
      <c r="F11" s="25" t="s">
        <v>21</v>
      </c>
      <c r="G11" s="25" t="s">
        <v>22</v>
      </c>
      <c r="H11" s="33" t="s">
        <v>23</v>
      </c>
      <c r="I11" s="36" t="s">
        <v>24</v>
      </c>
    </row>
    <row r="12" spans="1:9" ht="30" x14ac:dyDescent="0.25">
      <c r="A12" s="86" t="s">
        <v>5</v>
      </c>
      <c r="B12" s="49" t="s">
        <v>6</v>
      </c>
      <c r="C12" s="126" t="s">
        <v>41</v>
      </c>
      <c r="D12" s="125" t="s">
        <v>39</v>
      </c>
      <c r="E12" s="88">
        <v>100</v>
      </c>
      <c r="F12" s="84">
        <f>E12*22.34/150</f>
        <v>14.893333333333333</v>
      </c>
      <c r="G12" s="84">
        <f>E12*14.92/150</f>
        <v>9.9466666666666672</v>
      </c>
      <c r="H12" s="84">
        <f>E12*34.47/150</f>
        <v>22.98</v>
      </c>
      <c r="I12" s="84">
        <f>E12*333.89/150</f>
        <v>222.59333333333333</v>
      </c>
    </row>
    <row r="13" spans="1:9" ht="30" x14ac:dyDescent="0.25">
      <c r="A13" s="11"/>
      <c r="B13" s="50" t="s">
        <v>7</v>
      </c>
      <c r="C13" s="126" t="s">
        <v>42</v>
      </c>
      <c r="D13" s="90" t="s">
        <v>40</v>
      </c>
      <c r="E13" s="95">
        <v>180</v>
      </c>
      <c r="F13" s="96">
        <f>E13*0.06/200</f>
        <v>5.3999999999999992E-2</v>
      </c>
      <c r="G13" s="96">
        <f>E13*0.01/200</f>
        <v>9.0000000000000011E-3</v>
      </c>
      <c r="H13" s="96">
        <f>E13*15.25/200</f>
        <v>13.725</v>
      </c>
      <c r="I13" s="96">
        <f>E13*62.5/200</f>
        <v>56.25</v>
      </c>
    </row>
    <row r="14" spans="1:9" ht="15.75" x14ac:dyDescent="0.25">
      <c r="A14" s="11"/>
      <c r="B14" s="51" t="s">
        <v>12</v>
      </c>
      <c r="C14" s="112" t="s">
        <v>30</v>
      </c>
      <c r="D14" s="87" t="s">
        <v>25</v>
      </c>
      <c r="E14" s="47">
        <v>32</v>
      </c>
      <c r="F14" s="84">
        <f>E14*7.6/100</f>
        <v>2.4319999999999999</v>
      </c>
      <c r="G14" s="85">
        <f>E14*0.8/100</f>
        <v>0.25600000000000001</v>
      </c>
      <c r="H14" s="85">
        <f>E14*49.2/100</f>
        <v>15.744000000000002</v>
      </c>
      <c r="I14" s="85">
        <f>E14*235/100</f>
        <v>75.2</v>
      </c>
    </row>
    <row r="15" spans="1:9" ht="16.5" thickBot="1" x14ac:dyDescent="0.3">
      <c r="A15" s="15"/>
      <c r="B15" s="62"/>
      <c r="C15" s="112"/>
      <c r="D15" s="2"/>
      <c r="E15" s="28"/>
      <c r="F15" s="28"/>
      <c r="G15" s="27"/>
      <c r="H15" s="27"/>
      <c r="I15" s="27"/>
    </row>
    <row r="16" spans="1:9" ht="15.75" x14ac:dyDescent="0.25">
      <c r="A16" s="11"/>
      <c r="B16" s="52"/>
      <c r="C16" s="112"/>
      <c r="D16" s="2"/>
      <c r="E16" s="28"/>
      <c r="F16" s="38"/>
      <c r="G16" s="38"/>
      <c r="H16" s="38"/>
      <c r="I16" s="38"/>
    </row>
    <row r="17" spans="1:10" ht="30" customHeight="1" x14ac:dyDescent="0.25">
      <c r="A17" s="61" t="s">
        <v>31</v>
      </c>
      <c r="B17" s="71"/>
      <c r="C17" s="128" t="s">
        <v>37</v>
      </c>
      <c r="D17" s="82" t="s">
        <v>43</v>
      </c>
      <c r="E17" s="47">
        <v>100</v>
      </c>
      <c r="F17" s="85">
        <f>E17*1.5/100</f>
        <v>1.5</v>
      </c>
      <c r="G17" s="85">
        <f>E17*0.1/100</f>
        <v>0.1</v>
      </c>
      <c r="H17" s="85">
        <f>E17*21/100</f>
        <v>21</v>
      </c>
      <c r="I17" s="85">
        <f>E17*89/100</f>
        <v>89</v>
      </c>
    </row>
    <row r="18" spans="1:10" ht="16.5" thickBot="1" x14ac:dyDescent="0.3">
      <c r="A18" s="15"/>
      <c r="B18" s="16"/>
      <c r="C18" s="129"/>
      <c r="D18" s="29"/>
      <c r="E18" s="3"/>
      <c r="F18" s="17"/>
      <c r="G18" s="17"/>
      <c r="H18" s="34"/>
      <c r="I18" s="53"/>
    </row>
    <row r="19" spans="1:10" ht="45" x14ac:dyDescent="0.25">
      <c r="A19" s="79" t="s">
        <v>8</v>
      </c>
      <c r="B19" s="43" t="s">
        <v>9</v>
      </c>
      <c r="C19" s="112" t="s">
        <v>45</v>
      </c>
      <c r="D19" s="72" t="s">
        <v>44</v>
      </c>
      <c r="E19" s="77">
        <v>60</v>
      </c>
      <c r="F19" s="97">
        <f>E19*0.8/100</f>
        <v>0.48</v>
      </c>
      <c r="G19" s="97">
        <f>E19*0.1/100</f>
        <v>0.06</v>
      </c>
      <c r="H19" s="97">
        <f>E19*2.5/100</f>
        <v>1.5</v>
      </c>
      <c r="I19" s="97">
        <f>E19*14/100</f>
        <v>8.4</v>
      </c>
      <c r="J19" s="64"/>
    </row>
    <row r="20" spans="1:10" ht="30" x14ac:dyDescent="0.25">
      <c r="A20" s="11"/>
      <c r="B20" s="30" t="s">
        <v>10</v>
      </c>
      <c r="C20" s="126" t="s">
        <v>53</v>
      </c>
      <c r="D20" s="82" t="s">
        <v>46</v>
      </c>
      <c r="E20" s="83">
        <v>180</v>
      </c>
      <c r="F20" s="89">
        <f>E20*8.35/1000</f>
        <v>1.5029999999999999</v>
      </c>
      <c r="G20" s="89">
        <f>E20*21.49/1000</f>
        <v>3.8681999999999999</v>
      </c>
      <c r="H20" s="89">
        <f>E20*51.08/1000</f>
        <v>9.1943999999999999</v>
      </c>
      <c r="I20" s="89">
        <f>E20*489.37/1000</f>
        <v>88.086600000000004</v>
      </c>
    </row>
    <row r="21" spans="1:10" ht="30" x14ac:dyDescent="0.25">
      <c r="A21" s="11"/>
      <c r="B21" s="54" t="s">
        <v>81</v>
      </c>
      <c r="C21" s="126" t="s">
        <v>50</v>
      </c>
      <c r="D21" s="82" t="s">
        <v>47</v>
      </c>
      <c r="E21" s="77">
        <v>120</v>
      </c>
      <c r="F21" s="89">
        <f>E21*57.02/1000</f>
        <v>6.8424000000000005</v>
      </c>
      <c r="G21" s="89">
        <f>E21*52.3/1000</f>
        <v>6.2759999999999998</v>
      </c>
      <c r="H21" s="89">
        <f>E21*49.2/1000</f>
        <v>5.9039999999999999</v>
      </c>
      <c r="I21" s="89">
        <f>E21*1718.33/1000</f>
        <v>206.19959999999998</v>
      </c>
    </row>
    <row r="22" spans="1:10" ht="15.75" x14ac:dyDescent="0.25">
      <c r="A22" s="11"/>
      <c r="B22" s="31" t="s">
        <v>11</v>
      </c>
      <c r="C22" s="126" t="s">
        <v>51</v>
      </c>
      <c r="D22" s="82" t="s">
        <v>48</v>
      </c>
      <c r="E22" s="83">
        <v>80</v>
      </c>
      <c r="F22" s="89">
        <f>E22*12.5/120</f>
        <v>8.3333333333333339</v>
      </c>
      <c r="G22" s="91">
        <f>E22*14.34/120</f>
        <v>9.56</v>
      </c>
      <c r="H22" s="91">
        <f>E22*5.88/120</f>
        <v>3.92</v>
      </c>
      <c r="I22" s="91">
        <f>E22*202.58/120</f>
        <v>135.05333333333334</v>
      </c>
    </row>
    <row r="23" spans="1:10" ht="45" x14ac:dyDescent="0.25">
      <c r="A23" s="11"/>
      <c r="B23" s="12"/>
      <c r="C23" s="126" t="s">
        <v>52</v>
      </c>
      <c r="D23" s="72" t="s">
        <v>49</v>
      </c>
      <c r="E23" s="77">
        <v>180</v>
      </c>
      <c r="F23" s="89">
        <f>E23*0.33/200</f>
        <v>0.29700000000000004</v>
      </c>
      <c r="G23" s="89">
        <f>E23*0.2/200</f>
        <v>0.18</v>
      </c>
      <c r="H23" s="89">
        <f>E23*21.87/200</f>
        <v>19.683000000000003</v>
      </c>
      <c r="I23" s="89">
        <f>E23*90.58/200</f>
        <v>81.521999999999991</v>
      </c>
    </row>
    <row r="24" spans="1:10" ht="15.75" x14ac:dyDescent="0.25">
      <c r="A24" s="11"/>
      <c r="B24" s="19"/>
      <c r="C24" s="112" t="s">
        <v>30</v>
      </c>
      <c r="D24" s="90" t="s">
        <v>25</v>
      </c>
      <c r="E24" s="77">
        <v>20</v>
      </c>
      <c r="F24" s="89">
        <f>E24*7.6/100</f>
        <v>1.52</v>
      </c>
      <c r="G24" s="91">
        <f>E24*0.8/100</f>
        <v>0.16</v>
      </c>
      <c r="H24" s="91">
        <f>E24*49.2/100</f>
        <v>9.84</v>
      </c>
      <c r="I24" s="91">
        <f>E24*235/100</f>
        <v>47</v>
      </c>
    </row>
    <row r="25" spans="1:10" ht="15.75" x14ac:dyDescent="0.25">
      <c r="A25" s="4"/>
      <c r="B25" s="19"/>
      <c r="C25" s="126" t="s">
        <v>38</v>
      </c>
      <c r="D25" s="78" t="s">
        <v>34</v>
      </c>
      <c r="E25" s="77">
        <v>38</v>
      </c>
      <c r="F25" s="89">
        <f>E25*6.6/100</f>
        <v>2.508</v>
      </c>
      <c r="G25" s="91">
        <f>E25*1.2/100</f>
        <v>0.45600000000000002</v>
      </c>
      <c r="H25" s="91">
        <f>E25*33.4/100</f>
        <v>12.692</v>
      </c>
      <c r="I25" s="91">
        <f>E25*174/100</f>
        <v>66.12</v>
      </c>
    </row>
    <row r="26" spans="1:10" ht="15.75" x14ac:dyDescent="0.25">
      <c r="A26" s="4"/>
      <c r="B26" s="19"/>
      <c r="C26" s="127"/>
      <c r="D26" s="63"/>
      <c r="E26" s="77"/>
      <c r="F26" s="89"/>
      <c r="G26" s="91"/>
      <c r="H26" s="91"/>
      <c r="I26" s="91"/>
    </row>
    <row r="27" spans="1:10" ht="30" x14ac:dyDescent="0.25">
      <c r="A27" s="60" t="s">
        <v>32</v>
      </c>
      <c r="B27" s="59"/>
      <c r="C27" s="126" t="s">
        <v>57</v>
      </c>
      <c r="D27" s="93" t="s">
        <v>54</v>
      </c>
      <c r="E27" s="99">
        <v>100</v>
      </c>
      <c r="F27" s="100">
        <f>E27*0.91/100</f>
        <v>0.91</v>
      </c>
      <c r="G27" s="100">
        <f>E27*10.2/100</f>
        <v>10.199999999999999</v>
      </c>
      <c r="H27" s="100">
        <f>E27*7.15/100</f>
        <v>7.15</v>
      </c>
      <c r="I27" s="100">
        <f>E27*125.35/100</f>
        <v>125.35</v>
      </c>
    </row>
    <row r="28" spans="1:10" x14ac:dyDescent="0.25">
      <c r="A28" s="1"/>
      <c r="B28" s="1"/>
      <c r="C28" s="101" t="s">
        <v>58</v>
      </c>
      <c r="D28" s="87" t="s">
        <v>55</v>
      </c>
      <c r="E28" s="47">
        <v>40</v>
      </c>
      <c r="F28" s="84">
        <f>E28*5.1/40</f>
        <v>5.0999999999999996</v>
      </c>
      <c r="G28" s="84">
        <f>E28*4.6/40</f>
        <v>4.5999999999999996</v>
      </c>
      <c r="H28" s="84">
        <f>E28*0.3/40</f>
        <v>0.3</v>
      </c>
      <c r="I28" s="84">
        <f>E28*63/40</f>
        <v>63</v>
      </c>
      <c r="J28" s="54"/>
    </row>
    <row r="29" spans="1:10" x14ac:dyDescent="0.25">
      <c r="A29" s="102"/>
      <c r="B29" s="103"/>
      <c r="C29" s="92" t="s">
        <v>59</v>
      </c>
      <c r="D29" s="87" t="s">
        <v>56</v>
      </c>
      <c r="E29" s="47">
        <v>180</v>
      </c>
      <c r="F29" s="85">
        <f>E29*0.5/100</f>
        <v>0.9</v>
      </c>
      <c r="G29" s="85">
        <f>E29*0.1/100</f>
        <v>0.18</v>
      </c>
      <c r="H29" s="85">
        <f>E29*10.1/100</f>
        <v>18.18</v>
      </c>
      <c r="I29" s="85">
        <f>E29*46/100</f>
        <v>82.8</v>
      </c>
    </row>
  </sheetData>
  <mergeCells count="8">
    <mergeCell ref="A1:I1"/>
    <mergeCell ref="A9:D9"/>
    <mergeCell ref="G3:I3"/>
    <mergeCell ref="G4:I4"/>
    <mergeCell ref="G5:I5"/>
    <mergeCell ref="E9:G9"/>
    <mergeCell ref="A7:D7"/>
    <mergeCell ref="H7:I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7-11 лет</vt:lpstr>
      <vt:lpstr>12 и старше</vt:lpstr>
      <vt:lpstr>до 3 лет</vt:lpstr>
      <vt:lpstr>3-7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2025-09-14T16:24:40Z</cp:lastPrinted>
  <dcterms:created xsi:type="dcterms:W3CDTF">2015-06-05T18:19:34Z</dcterms:created>
  <dcterms:modified xsi:type="dcterms:W3CDTF">2025-09-14T16:47:29Z</dcterms:modified>
</cp:coreProperties>
</file>