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7-11 лет" sheetId="1" r:id="rId1"/>
    <sheet name="12 и старше" sheetId="2" r:id="rId2"/>
    <sheet name="до 3 лет" sheetId="3" r:id="rId3"/>
    <sheet name="3-7 лет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4" l="1"/>
  <c r="H25" i="4"/>
  <c r="G25" i="4"/>
  <c r="F25" i="4"/>
  <c r="I24" i="4"/>
  <c r="H24" i="4"/>
  <c r="G24" i="4"/>
  <c r="F24" i="4"/>
  <c r="I23" i="4"/>
  <c r="H23" i="4"/>
  <c r="G23" i="4"/>
  <c r="F23" i="4"/>
  <c r="I22" i="4"/>
  <c r="H22" i="4"/>
  <c r="G22" i="4"/>
  <c r="F22" i="4"/>
  <c r="I21" i="4"/>
  <c r="H21" i="4"/>
  <c r="G21" i="4"/>
  <c r="F21" i="4"/>
  <c r="I20" i="4"/>
  <c r="H20" i="4"/>
  <c r="G20" i="4"/>
  <c r="F20" i="4"/>
  <c r="I18" i="4"/>
  <c r="H18" i="4"/>
  <c r="G18" i="4"/>
  <c r="F18" i="4"/>
  <c r="I15" i="4"/>
  <c r="H15" i="4"/>
  <c r="G15" i="4"/>
  <c r="F15" i="4"/>
  <c r="I14" i="4"/>
  <c r="H14" i="4"/>
  <c r="G14" i="4"/>
  <c r="F14" i="4"/>
  <c r="I13" i="4"/>
  <c r="H13" i="4"/>
  <c r="G13" i="4"/>
  <c r="F13" i="4"/>
  <c r="I12" i="4"/>
  <c r="H12" i="4"/>
  <c r="G12" i="4"/>
  <c r="F12" i="4"/>
  <c r="I29" i="4"/>
  <c r="H29" i="4"/>
  <c r="G29" i="4"/>
  <c r="F29" i="4"/>
  <c r="I28" i="4"/>
  <c r="H28" i="4"/>
  <c r="G28" i="4"/>
  <c r="F28" i="4"/>
  <c r="I29" i="3"/>
  <c r="H29" i="3"/>
  <c r="G29" i="3"/>
  <c r="F29" i="3"/>
  <c r="I28" i="3"/>
  <c r="H28" i="3"/>
  <c r="G28" i="3"/>
  <c r="F28" i="3"/>
  <c r="I25" i="3"/>
  <c r="H25" i="3"/>
  <c r="G25" i="3"/>
  <c r="F25" i="3"/>
  <c r="I24" i="3"/>
  <c r="H24" i="3"/>
  <c r="G24" i="3"/>
  <c r="F24" i="3"/>
  <c r="I23" i="3"/>
  <c r="H23" i="3"/>
  <c r="G23" i="3"/>
  <c r="F23" i="3"/>
  <c r="I22" i="3"/>
  <c r="H22" i="3"/>
  <c r="G22" i="3"/>
  <c r="F22" i="3"/>
  <c r="I21" i="3"/>
  <c r="H21" i="3"/>
  <c r="G21" i="3"/>
  <c r="F21" i="3"/>
  <c r="I20" i="3"/>
  <c r="H20" i="3"/>
  <c r="G20" i="3"/>
  <c r="F20" i="3"/>
  <c r="I18" i="3"/>
  <c r="H18" i="3"/>
  <c r="G18" i="3"/>
  <c r="F18" i="3"/>
  <c r="I15" i="3"/>
  <c r="H15" i="3"/>
  <c r="G15" i="3"/>
  <c r="F15" i="3"/>
  <c r="I14" i="3"/>
  <c r="H14" i="3"/>
  <c r="G14" i="3"/>
  <c r="F14" i="3"/>
  <c r="I13" i="3"/>
  <c r="H13" i="3"/>
  <c r="G13" i="3"/>
  <c r="F13" i="3"/>
  <c r="I12" i="3"/>
  <c r="H12" i="3"/>
  <c r="G12" i="3"/>
  <c r="F12" i="3"/>
  <c r="I26" i="1" l="1"/>
  <c r="H26" i="1"/>
  <c r="G26" i="1"/>
  <c r="F26" i="1"/>
  <c r="I23" i="1"/>
  <c r="H23" i="1"/>
  <c r="G23" i="1"/>
  <c r="F23" i="1"/>
  <c r="I22" i="1"/>
  <c r="H22" i="1"/>
  <c r="G22" i="1"/>
  <c r="F22" i="1"/>
  <c r="I20" i="1"/>
  <c r="H20" i="1"/>
  <c r="G20" i="1"/>
  <c r="F20" i="1"/>
  <c r="I19" i="1"/>
  <c r="H19" i="1"/>
  <c r="G19" i="1"/>
  <c r="F19" i="1"/>
  <c r="I18" i="1"/>
  <c r="H18" i="1"/>
  <c r="G18" i="1"/>
  <c r="F18" i="1"/>
  <c r="I14" i="1"/>
  <c r="H14" i="1"/>
  <c r="G14" i="1"/>
  <c r="F14" i="1"/>
  <c r="I12" i="1"/>
  <c r="H12" i="1"/>
  <c r="F12" i="1"/>
  <c r="I16" i="1"/>
  <c r="H16" i="1"/>
  <c r="G16" i="1"/>
  <c r="F16" i="1"/>
  <c r="I15" i="1"/>
  <c r="H15" i="1"/>
  <c r="G15" i="1"/>
  <c r="F15" i="1"/>
  <c r="I21" i="2" l="1"/>
  <c r="H21" i="2"/>
  <c r="G21" i="2"/>
  <c r="F21" i="2"/>
  <c r="I18" i="2"/>
  <c r="H18" i="2"/>
  <c r="G18" i="2"/>
  <c r="F18" i="2"/>
  <c r="I17" i="2"/>
  <c r="H17" i="2"/>
  <c r="G17" i="2"/>
  <c r="F17" i="2"/>
  <c r="I13" i="2"/>
  <c r="H13" i="2"/>
  <c r="G13" i="2"/>
  <c r="F13" i="2"/>
  <c r="I15" i="2"/>
  <c r="H15" i="2"/>
  <c r="G15" i="2"/>
  <c r="F15" i="2"/>
  <c r="I14" i="2"/>
  <c r="H14" i="2"/>
  <c r="G14" i="2"/>
  <c r="F14" i="2"/>
</calcChain>
</file>

<file path=xl/sharedStrings.xml><?xml version="1.0" encoding="utf-8"?>
<sst xmlns="http://schemas.openxmlformats.org/spreadsheetml/2006/main" count="189" uniqueCount="79">
  <si>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</si>
  <si>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</si>
  <si>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</si>
  <si>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</si>
  <si>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</si>
  <si>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</si>
  <si>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</si>
  <si>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</si>
  <si>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</si>
  <si>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</si>
  <si>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</si>
  <si>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</si>
  <si>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</t>
  </si>
  <si>
    <t>№ рец.</t>
  </si>
  <si>
    <t>Выход, г</t>
  </si>
  <si>
    <t>МБОУ "КСОШ им.Героя РФ С.В.Перца"</t>
  </si>
  <si>
    <t>7-11 лет</t>
  </si>
  <si>
    <t>полдник</t>
  </si>
  <si>
    <t>Утверждено</t>
  </si>
  <si>
    <t>Директор школы</t>
  </si>
  <si>
    <t>_____Ю.П.Артиева</t>
  </si>
  <si>
    <t>Б</t>
  </si>
  <si>
    <t>Ж</t>
  </si>
  <si>
    <t>У</t>
  </si>
  <si>
    <t>кКал</t>
  </si>
  <si>
    <t>Хлеб пшеничный</t>
  </si>
  <si>
    <t>12 лет и старше</t>
  </si>
  <si>
    <t>масло сливочное</t>
  </si>
  <si>
    <t>хлеб пшеничный</t>
  </si>
  <si>
    <t>№ 365</t>
  </si>
  <si>
    <t>хлеб ржаной</t>
  </si>
  <si>
    <t>до 3 лет</t>
  </si>
  <si>
    <t>№ 122</t>
  </si>
  <si>
    <t>II завтрак:</t>
  </si>
  <si>
    <t>Полдник</t>
  </si>
  <si>
    <t>Дошкольное отделение</t>
  </si>
  <si>
    <t>печенье</t>
  </si>
  <si>
    <t>Хлеб ржаной</t>
  </si>
  <si>
    <t>3-7 лет</t>
  </si>
  <si>
    <t>№37</t>
  </si>
  <si>
    <t>Борщ с капустой и картофелем</t>
  </si>
  <si>
    <t>№211</t>
  </si>
  <si>
    <t>Плов из отварной птицы</t>
  </si>
  <si>
    <t>№ 22</t>
  </si>
  <si>
    <t xml:space="preserve">Салат из свежих помидоров </t>
  </si>
  <si>
    <t>№ 282</t>
  </si>
  <si>
    <t>компот из св. плодов или ягод (яблоко)</t>
  </si>
  <si>
    <t>хлеб пшеничн.</t>
  </si>
  <si>
    <t>№ 274</t>
  </si>
  <si>
    <t>кисель из концентрата плодового или ягодного</t>
  </si>
  <si>
    <t>йогурт</t>
  </si>
  <si>
    <t>№ 109</t>
  </si>
  <si>
    <t>Каша овсянная из "Геркулеса" жидкая</t>
  </si>
  <si>
    <t>№54-23гн</t>
  </si>
  <si>
    <t>кофейный напиток с молоком</t>
  </si>
  <si>
    <t>мандарин</t>
  </si>
  <si>
    <t>Каша из хлопьев овсяных "Геркулес" вязкая</t>
  </si>
  <si>
    <t>Кофейный напиток с молоком</t>
  </si>
  <si>
    <t>Масло сливочное</t>
  </si>
  <si>
    <t>№ 262</t>
  </si>
  <si>
    <t>№ 514</t>
  </si>
  <si>
    <t>№ 119</t>
  </si>
  <si>
    <t>Плоды свежие (мандарин)</t>
  </si>
  <si>
    <t>№126</t>
  </si>
  <si>
    <t>Салат из свежих помидоров</t>
  </si>
  <si>
    <t>№21</t>
  </si>
  <si>
    <t>Борщ с капустой с картофелем</t>
  </si>
  <si>
    <t>Компот из свежих плодов или ягод (яблоко)</t>
  </si>
  <si>
    <t>№ 142</t>
  </si>
  <si>
    <t>№ 416</t>
  </si>
  <si>
    <t>№ 521</t>
  </si>
  <si>
    <t>№ 123</t>
  </si>
  <si>
    <t>Оладьи с яблоками</t>
  </si>
  <si>
    <t>Молоко кипяченое</t>
  </si>
  <si>
    <t>№ 552</t>
  </si>
  <si>
    <t>№ 529</t>
  </si>
  <si>
    <t>Среда</t>
  </si>
  <si>
    <t>Компот из св. плодов или ягод (яблоко)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</si>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</sst>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4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1" xfId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14" fontId="6" fillId="2" borderId="0" xfId="0" applyNumberFormat="1" applyFont="1" applyFill="1" applyProtection="1">
      <protection locked="0"/>
    </xf>
    <xf numFmtId="0" fontId="5" fillId="2" borderId="0" xfId="0" applyFont="1" applyFill="1"/>
    <xf numFmtId="0" fontId="6" fillId="0" borderId="5" xfId="0" applyFont="1" applyBorder="1"/>
    <xf numFmtId="0" fontId="5" fillId="0" borderId="7" xfId="0" applyFont="1" applyBorder="1"/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5" fillId="0" borderId="8" xfId="0" applyFont="1" applyBorder="1"/>
    <xf numFmtId="0" fontId="5" fillId="2" borderId="9" xfId="0" applyFont="1" applyFill="1" applyBorder="1" applyProtection="1"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6" fillId="0" borderId="7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2" xfId="0" applyFont="1" applyBorder="1"/>
    <xf numFmtId="0" fontId="6" fillId="0" borderId="1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2" xfId="0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0" fontId="5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9" fillId="2" borderId="1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4" fillId="0" borderId="1" xfId="0" applyFont="1" applyBorder="1"/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2" fillId="2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3" fillId="2" borderId="12" xfId="0" applyFont="1" applyFill="1" applyBorder="1" applyProtection="1">
      <protection locked="0"/>
    </xf>
    <xf numFmtId="0" fontId="13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right" vertical="center"/>
    </xf>
    <xf numFmtId="2" fontId="1" fillId="0" borderId="12" xfId="0" applyNumberFormat="1" applyFont="1" applyBorder="1"/>
    <xf numFmtId="2" fontId="1" fillId="0" borderId="12" xfId="0" applyNumberFormat="1" applyFont="1" applyBorder="1" applyAlignment="1">
      <alignment horizontal="right"/>
    </xf>
    <xf numFmtId="2" fontId="1" fillId="0" borderId="15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vertical="center"/>
    </xf>
    <xf numFmtId="0" fontId="5" fillId="2" borderId="16" xfId="0" applyFont="1" applyFill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2" fillId="2" borderId="9" xfId="0" applyFont="1" applyFill="1" applyBorder="1" applyAlignment="1" applyProtection="1">
      <alignment horizontal="center"/>
      <protection locked="0"/>
    </xf>
    <xf numFmtId="0" fontId="7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2" fontId="1" fillId="0" borderId="3" xfId="0" applyNumberFormat="1" applyFont="1" applyBorder="1"/>
    <xf numFmtId="0" fontId="7" fillId="0" borderId="3" xfId="0" applyFont="1" applyBorder="1"/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horizontal="right" vertical="center"/>
    </xf>
    <xf numFmtId="2" fontId="7" fillId="0" borderId="1" xfId="0" applyNumberFormat="1" applyFont="1" applyBorder="1"/>
    <xf numFmtId="2" fontId="7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vertical="center"/>
    </xf>
    <xf numFmtId="0" fontId="7" fillId="2" borderId="3" xfId="0" applyFont="1" applyFill="1" applyBorder="1"/>
    <xf numFmtId="0" fontId="7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2" fontId="7" fillId="0" borderId="3" xfId="0" applyNumberFormat="1" applyFont="1" applyBorder="1"/>
    <xf numFmtId="2" fontId="7" fillId="0" borderId="1" xfId="0" applyNumberFormat="1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2" fontId="7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7" fillId="2" borderId="1" xfId="0" applyFont="1" applyFill="1" applyBorder="1"/>
    <xf numFmtId="2" fontId="7" fillId="2" borderId="1" xfId="0" applyNumberFormat="1" applyFont="1" applyFill="1" applyBorder="1"/>
    <xf numFmtId="0" fontId="7" fillId="2" borderId="17" xfId="0" applyFont="1" applyFill="1" applyBorder="1"/>
    <xf numFmtId="0" fontId="7" fillId="2" borderId="3" xfId="0" applyFont="1" applyFill="1" applyBorder="1" applyAlignment="1">
      <alignment vertical="center" wrapText="1"/>
    </xf>
    <xf numFmtId="2" fontId="7" fillId="0" borderId="3" xfId="0" applyNumberFormat="1" applyFont="1" applyBorder="1" applyAlignment="1">
      <alignment vertical="center"/>
    </xf>
    <xf numFmtId="0" fontId="5" fillId="2" borderId="0" xfId="0" applyFont="1" applyFill="1" applyProtection="1">
      <protection locked="0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3" fillId="0" borderId="1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I27"/>
  <sheetViews>
    <sheetView tabSelected="1" topLeftCell="A2" zoomScaleNormal="100" workbookViewId="0">
      <selection activeCell="N17" sqref="N17"/>
    </sheetView>
  </sheetViews>
  <sheetFormatPr defaultRowHeight="15" x14ac:dyDescent="0.25"/>
  <cols>
    <col min="1" max="1" width="10.28515625" customWidth="1"/>
    <col min="2" max="2" width="11.5703125" customWidth="1"/>
    <col min="3" max="3" width="8" customWidth="1"/>
    <col min="4" max="4" width="27" customWidth="1"/>
    <col min="5" max="5" width="8.42578125" customWidth="1"/>
    <col min="6" max="6" width="7.7109375" customWidth="1"/>
    <col min="7" max="7" width="7" customWidth="1"/>
    <col min="8" max="8" width="8.28515625" customWidth="1"/>
  </cols>
  <sheetData>
    <row r="3" spans="1:9" ht="18.75" x14ac:dyDescent="0.3">
      <c r="A3" s="4"/>
      <c r="B3" s="4"/>
      <c r="C3" s="4"/>
      <c r="D3" s="4"/>
      <c r="G3" s="106" t="s">
        <v>18</v>
      </c>
      <c r="H3" s="106"/>
      <c r="I3" s="106"/>
    </row>
    <row r="4" spans="1:9" ht="15.75" x14ac:dyDescent="0.25">
      <c r="A4" s="4"/>
      <c r="B4" s="4"/>
      <c r="C4" s="4"/>
      <c r="D4" s="4"/>
      <c r="G4" s="107" t="s">
        <v>19</v>
      </c>
      <c r="H4" s="107"/>
      <c r="I4" s="107"/>
    </row>
    <row r="5" spans="1:9" ht="15.75" x14ac:dyDescent="0.25">
      <c r="A5" s="4"/>
      <c r="B5" s="4"/>
      <c r="C5" s="4"/>
      <c r="D5" s="4"/>
      <c r="G5" s="108" t="s">
        <v>20</v>
      </c>
      <c r="H5" s="108"/>
      <c r="I5" s="108"/>
    </row>
    <row r="6" spans="1:9" ht="15.75" x14ac:dyDescent="0.25">
      <c r="A6" s="4"/>
      <c r="B6" s="4"/>
      <c r="C6" s="4"/>
      <c r="D6" s="4"/>
      <c r="E6" s="38"/>
      <c r="F6" s="38"/>
    </row>
    <row r="7" spans="1:9" ht="15.75" x14ac:dyDescent="0.25">
      <c r="A7" s="4"/>
      <c r="B7" s="4"/>
      <c r="C7" s="4"/>
      <c r="D7" s="4"/>
      <c r="E7" s="38"/>
      <c r="F7" s="38"/>
      <c r="H7" s="113" t="s">
        <v>76</v>
      </c>
      <c r="I7" s="113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5" t="s">
        <v>0</v>
      </c>
      <c r="B9" s="105" t="s">
        <v>15</v>
      </c>
      <c r="C9" s="105"/>
      <c r="D9" s="105"/>
      <c r="E9" s="7" t="s">
        <v>16</v>
      </c>
      <c r="F9" s="7">
        <v>8</v>
      </c>
      <c r="G9" s="6" t="s">
        <v>1</v>
      </c>
      <c r="H9" s="8"/>
    </row>
    <row r="10" spans="1:9" ht="7.5" customHeight="1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32.25" thickBot="1" x14ac:dyDescent="0.3">
      <c r="A11" s="22" t="s">
        <v>2</v>
      </c>
      <c r="B11" s="23" t="s">
        <v>3</v>
      </c>
      <c r="C11" s="23" t="s">
        <v>13</v>
      </c>
      <c r="D11" s="23" t="s">
        <v>4</v>
      </c>
      <c r="E11" s="25" t="s">
        <v>14</v>
      </c>
      <c r="F11" s="24" t="s">
        <v>21</v>
      </c>
      <c r="G11" s="24" t="s">
        <v>22</v>
      </c>
      <c r="H11" s="32" t="s">
        <v>23</v>
      </c>
      <c r="I11" s="35" t="s">
        <v>24</v>
      </c>
    </row>
    <row r="12" spans="1:9" ht="31.5" x14ac:dyDescent="0.25">
      <c r="A12" s="10" t="s">
        <v>5</v>
      </c>
      <c r="B12" s="39" t="s">
        <v>6</v>
      </c>
      <c r="C12" s="81" t="s">
        <v>51</v>
      </c>
      <c r="D12" s="54" t="s">
        <v>52</v>
      </c>
      <c r="E12" s="43">
        <v>205</v>
      </c>
      <c r="F12" s="55">
        <f>E12*6.33/205</f>
        <v>6.33</v>
      </c>
      <c r="G12" s="55">
        <v>6.9</v>
      </c>
      <c r="H12" s="55">
        <f>E12*25.49/205</f>
        <v>25.49</v>
      </c>
      <c r="I12" s="55">
        <f>E12*207.38/205</f>
        <v>207.38</v>
      </c>
    </row>
    <row r="13" spans="1:9" ht="31.5" x14ac:dyDescent="0.25">
      <c r="A13" s="11"/>
      <c r="B13" s="40" t="s">
        <v>7</v>
      </c>
      <c r="C13" s="86" t="s">
        <v>53</v>
      </c>
      <c r="D13" s="63" t="s">
        <v>54</v>
      </c>
      <c r="E13" s="43">
        <v>200</v>
      </c>
      <c r="F13" s="70">
        <v>3.8</v>
      </c>
      <c r="G13" s="70">
        <v>2.9</v>
      </c>
      <c r="H13" s="70">
        <v>11.3</v>
      </c>
      <c r="I13" s="70">
        <v>86</v>
      </c>
    </row>
    <row r="14" spans="1:9" ht="15.75" x14ac:dyDescent="0.25">
      <c r="A14" s="11"/>
      <c r="B14" s="12"/>
      <c r="C14" s="86" t="s">
        <v>29</v>
      </c>
      <c r="D14" s="63" t="s">
        <v>27</v>
      </c>
      <c r="E14" s="43">
        <v>13</v>
      </c>
      <c r="F14" s="70">
        <f>E14*0.1/10</f>
        <v>0.13</v>
      </c>
      <c r="G14" s="70">
        <f>E14*7.2/10</f>
        <v>9.3600000000000012</v>
      </c>
      <c r="H14" s="70">
        <f>E14*0.1/10</f>
        <v>0.13</v>
      </c>
      <c r="I14" s="70">
        <f>E14*66/10</f>
        <v>85.8</v>
      </c>
    </row>
    <row r="15" spans="1:9" ht="15.75" x14ac:dyDescent="0.25">
      <c r="A15" s="11"/>
      <c r="B15" s="13"/>
      <c r="C15" s="41"/>
      <c r="D15" s="2" t="s">
        <v>28</v>
      </c>
      <c r="E15" s="27">
        <v>50</v>
      </c>
      <c r="F15" s="36">
        <f>E15*6.9/100</f>
        <v>3.45</v>
      </c>
      <c r="G15" s="37">
        <f>1*E15/100</f>
        <v>0.5</v>
      </c>
      <c r="H15" s="37">
        <f>E15*48.3/100</f>
        <v>24.15</v>
      </c>
      <c r="I15" s="37">
        <f>E15*235/100</f>
        <v>117.5</v>
      </c>
    </row>
    <row r="16" spans="1:9" ht="16.5" thickBot="1" x14ac:dyDescent="0.3">
      <c r="A16" s="14"/>
      <c r="B16" s="15"/>
      <c r="C16" s="41"/>
      <c r="D16" s="2" t="s">
        <v>55</v>
      </c>
      <c r="E16" s="27">
        <v>200</v>
      </c>
      <c r="F16" s="26">
        <f>0.8*E16/100</f>
        <v>1.6</v>
      </c>
      <c r="G16" s="26">
        <f>0.2*E16/100</f>
        <v>0.4</v>
      </c>
      <c r="H16" s="26">
        <f>7.5*E16/100</f>
        <v>15</v>
      </c>
      <c r="I16" s="26">
        <f>33.1*E16/100</f>
        <v>66.2</v>
      </c>
    </row>
    <row r="17" spans="1:9" ht="15.75" x14ac:dyDescent="0.25">
      <c r="A17" s="11"/>
      <c r="B17" s="13"/>
      <c r="C17" s="56"/>
      <c r="D17" s="2"/>
      <c r="E17" s="27"/>
      <c r="F17" s="36"/>
      <c r="G17" s="37"/>
      <c r="H17" s="37"/>
      <c r="I17" s="37"/>
    </row>
    <row r="18" spans="1:9" ht="32.25" customHeight="1" x14ac:dyDescent="0.25">
      <c r="A18" s="17" t="s">
        <v>8</v>
      </c>
      <c r="B18" s="42" t="s">
        <v>9</v>
      </c>
      <c r="C18" s="81" t="s">
        <v>43</v>
      </c>
      <c r="D18" s="82" t="s">
        <v>44</v>
      </c>
      <c r="E18" s="43">
        <v>100</v>
      </c>
      <c r="F18" s="55">
        <f>E18*1/100</f>
        <v>1</v>
      </c>
      <c r="G18" s="55">
        <f>E18*10.16/100</f>
        <v>10.16</v>
      </c>
      <c r="H18" s="55">
        <f>E18*4.6/100</f>
        <v>4.5999999999999996</v>
      </c>
      <c r="I18" s="55">
        <f>E18*113.92/100</f>
        <v>113.92</v>
      </c>
    </row>
    <row r="19" spans="1:9" ht="30" x14ac:dyDescent="0.25">
      <c r="A19" s="11"/>
      <c r="B19" s="29" t="s">
        <v>10</v>
      </c>
      <c r="C19" s="86" t="s">
        <v>39</v>
      </c>
      <c r="D19" s="87" t="s">
        <v>40</v>
      </c>
      <c r="E19" s="26">
        <v>250</v>
      </c>
      <c r="F19" s="36">
        <f>E19*1.9/250</f>
        <v>1.9</v>
      </c>
      <c r="G19" s="36">
        <f>E19*6.66/250</f>
        <v>6.66</v>
      </c>
      <c r="H19" s="36">
        <f>E19*10.81/250</f>
        <v>10.81</v>
      </c>
      <c r="I19" s="36">
        <f>E19*111.11/250</f>
        <v>111.11</v>
      </c>
    </row>
    <row r="20" spans="1:9" ht="15.75" x14ac:dyDescent="0.25">
      <c r="A20" s="11"/>
      <c r="B20" s="30" t="s">
        <v>11</v>
      </c>
      <c r="C20" s="41" t="s">
        <v>41</v>
      </c>
      <c r="D20" s="80" t="s">
        <v>42</v>
      </c>
      <c r="E20" s="27">
        <v>200</v>
      </c>
      <c r="F20" s="79">
        <f>E20*16/210</f>
        <v>15.238095238095237</v>
      </c>
      <c r="G20" s="36">
        <f>E20*15.9/210</f>
        <v>15.142857142857142</v>
      </c>
      <c r="H20" s="36">
        <f>E20*37.9/210</f>
        <v>36.095238095238095</v>
      </c>
      <c r="I20" s="36">
        <f>E20*359/210</f>
        <v>341.90476190476193</v>
      </c>
    </row>
    <row r="21" spans="1:9" ht="30" x14ac:dyDescent="0.25">
      <c r="A21" s="11"/>
      <c r="B21" s="31"/>
      <c r="C21" s="86" t="s">
        <v>45</v>
      </c>
      <c r="D21" s="87" t="s">
        <v>46</v>
      </c>
      <c r="E21" s="81">
        <v>200</v>
      </c>
      <c r="F21" s="81">
        <v>0.16</v>
      </c>
      <c r="G21" s="88">
        <v>0</v>
      </c>
      <c r="H21" s="88">
        <v>14.99</v>
      </c>
      <c r="I21" s="88">
        <v>60.64</v>
      </c>
    </row>
    <row r="22" spans="1:9" ht="15.75" x14ac:dyDescent="0.25">
      <c r="A22" s="11"/>
      <c r="B22" s="12"/>
      <c r="C22" s="47"/>
      <c r="D22" s="80" t="s">
        <v>47</v>
      </c>
      <c r="E22" s="46">
        <v>40</v>
      </c>
      <c r="F22" s="89">
        <f>E22*6.9/100</f>
        <v>2.76</v>
      </c>
      <c r="G22" s="90">
        <f>1*E22/100</f>
        <v>0.4</v>
      </c>
      <c r="H22" s="90">
        <f>E22*48.3/100</f>
        <v>19.32</v>
      </c>
      <c r="I22" s="90">
        <f>E22*235/100</f>
        <v>94</v>
      </c>
    </row>
    <row r="23" spans="1:9" ht="15.75" x14ac:dyDescent="0.25">
      <c r="A23" s="11"/>
      <c r="B23" s="18"/>
      <c r="C23" s="47"/>
      <c r="D23" s="80" t="s">
        <v>30</v>
      </c>
      <c r="E23" s="46">
        <v>50</v>
      </c>
      <c r="F23" s="89">
        <f>E23*4.8/100</f>
        <v>2.4</v>
      </c>
      <c r="G23" s="90">
        <f>E23*1/100</f>
        <v>0.5</v>
      </c>
      <c r="H23" s="90">
        <f>E23*21.2/50</f>
        <v>21.2</v>
      </c>
      <c r="I23" s="90">
        <f>E23*100/50</f>
        <v>100</v>
      </c>
    </row>
    <row r="24" spans="1:9" ht="16.5" thickBot="1" x14ac:dyDescent="0.3">
      <c r="A24" s="11"/>
      <c r="B24" s="18"/>
      <c r="C24" s="47"/>
      <c r="D24" s="2"/>
      <c r="E24" s="27"/>
      <c r="F24" s="67"/>
      <c r="G24" s="68"/>
      <c r="H24" s="69"/>
      <c r="I24" s="37"/>
    </row>
    <row r="25" spans="1:9" ht="31.5" x14ac:dyDescent="0.25">
      <c r="A25" s="91" t="s">
        <v>17</v>
      </c>
      <c r="B25" s="13"/>
      <c r="C25" s="83" t="s">
        <v>48</v>
      </c>
      <c r="D25" s="54" t="s">
        <v>49</v>
      </c>
      <c r="E25" s="43">
        <v>200</v>
      </c>
      <c r="F25" s="70">
        <v>1.36</v>
      </c>
      <c r="G25" s="70">
        <v>0</v>
      </c>
      <c r="H25" s="70">
        <v>29.02</v>
      </c>
      <c r="I25" s="70">
        <v>116.9</v>
      </c>
    </row>
    <row r="26" spans="1:9" ht="15.75" x14ac:dyDescent="0.25">
      <c r="A26" s="21"/>
      <c r="B26" s="18"/>
      <c r="C26" s="43"/>
      <c r="D26" s="63" t="s">
        <v>36</v>
      </c>
      <c r="E26" s="43">
        <v>38</v>
      </c>
      <c r="F26" s="43">
        <f>E26*7.5/100</f>
        <v>2.85</v>
      </c>
      <c r="G26" s="43">
        <f>E26*11.8/100</f>
        <v>4.484</v>
      </c>
      <c r="H26" s="43">
        <f>E26*79.5/100</f>
        <v>30.21</v>
      </c>
      <c r="I26" s="70">
        <f>E26*417.1/100</f>
        <v>158.49800000000002</v>
      </c>
    </row>
    <row r="27" spans="1:9" ht="15.75" x14ac:dyDescent="0.25">
      <c r="C27" s="83"/>
      <c r="D27" s="63" t="s">
        <v>50</v>
      </c>
      <c r="E27" s="43">
        <v>100</v>
      </c>
      <c r="F27" s="43">
        <v>3.4</v>
      </c>
      <c r="G27" s="43">
        <v>2.5</v>
      </c>
      <c r="H27" s="43">
        <v>14.4</v>
      </c>
      <c r="I27" s="43">
        <v>85</v>
      </c>
    </row>
  </sheetData>
  <mergeCells count="5">
    <mergeCell ref="B9:D9"/>
    <mergeCell ref="G3:I3"/>
    <mergeCell ref="G4:I4"/>
    <mergeCell ref="G5:I5"/>
    <mergeCell ref="H7:I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workbookViewId="0">
      <selection activeCell="L14" sqref="L14"/>
    </sheetView>
  </sheetViews>
  <sheetFormatPr defaultRowHeight="15" x14ac:dyDescent="0.25"/>
  <cols>
    <col min="3" max="3" width="6.85546875" customWidth="1"/>
    <col min="4" max="4" width="26.5703125" customWidth="1"/>
    <col min="5" max="5" width="7.7109375" customWidth="1"/>
    <col min="8" max="8" width="7.85546875" customWidth="1"/>
  </cols>
  <sheetData>
    <row r="3" spans="1:9" ht="18.75" x14ac:dyDescent="0.3">
      <c r="A3" s="4"/>
      <c r="B3" s="4"/>
      <c r="C3" s="4"/>
      <c r="D3" s="4"/>
      <c r="G3" s="106" t="s">
        <v>18</v>
      </c>
      <c r="H3" s="106"/>
      <c r="I3" s="106"/>
    </row>
    <row r="4" spans="1:9" ht="15.75" x14ac:dyDescent="0.25">
      <c r="A4" s="4"/>
      <c r="B4" s="4"/>
      <c r="C4" s="4"/>
      <c r="D4" s="4"/>
      <c r="G4" s="107" t="s">
        <v>19</v>
      </c>
      <c r="H4" s="107"/>
      <c r="I4" s="107"/>
    </row>
    <row r="5" spans="1:9" ht="19.5" customHeight="1" x14ac:dyDescent="0.25">
      <c r="A5" s="4"/>
      <c r="B5" s="4"/>
      <c r="C5" s="4"/>
      <c r="D5" s="4"/>
      <c r="G5" s="108" t="s">
        <v>20</v>
      </c>
      <c r="H5" s="108"/>
      <c r="I5" s="108"/>
    </row>
    <row r="6" spans="1:9" ht="15.75" x14ac:dyDescent="0.25">
      <c r="A6" s="4"/>
      <c r="B6" s="4"/>
      <c r="C6" s="4"/>
      <c r="D6" s="4"/>
      <c r="E6" s="38"/>
      <c r="F6" s="38"/>
    </row>
    <row r="7" spans="1:9" ht="28.5" customHeight="1" x14ac:dyDescent="0.25">
      <c r="A7" s="4"/>
      <c r="B7" s="4"/>
      <c r="C7" s="4"/>
      <c r="D7" s="4"/>
      <c r="E7" s="38"/>
      <c r="F7" s="38"/>
      <c r="H7" s="113" t="s">
        <v>76</v>
      </c>
      <c r="I7" s="113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5" t="s">
        <v>0</v>
      </c>
      <c r="B9" s="105" t="s">
        <v>15</v>
      </c>
      <c r="C9" s="105"/>
      <c r="D9" s="105"/>
      <c r="E9" s="109" t="s">
        <v>26</v>
      </c>
      <c r="F9" s="109"/>
      <c r="G9" s="109"/>
      <c r="H9" s="44">
        <v>8</v>
      </c>
      <c r="I9" s="6" t="s">
        <v>1</v>
      </c>
    </row>
    <row r="10" spans="1:9" ht="20.25" customHeight="1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28.5" customHeight="1" x14ac:dyDescent="0.25">
      <c r="A11" s="22" t="s">
        <v>2</v>
      </c>
      <c r="B11" s="23" t="s">
        <v>3</v>
      </c>
      <c r="C11" s="23" t="s">
        <v>13</v>
      </c>
      <c r="D11" s="23" t="s">
        <v>4</v>
      </c>
      <c r="E11" s="45" t="s">
        <v>14</v>
      </c>
      <c r="F11" s="24" t="s">
        <v>21</v>
      </c>
      <c r="G11" s="24" t="s">
        <v>22</v>
      </c>
      <c r="H11" s="32" t="s">
        <v>23</v>
      </c>
      <c r="I11" s="35" t="s">
        <v>24</v>
      </c>
    </row>
    <row r="12" spans="1:9" ht="15.75" x14ac:dyDescent="0.25">
      <c r="A12" s="18"/>
      <c r="B12" s="13"/>
      <c r="C12" s="76"/>
      <c r="D12" s="2"/>
      <c r="E12" s="27"/>
      <c r="F12" s="36"/>
      <c r="G12" s="37"/>
      <c r="H12" s="37"/>
      <c r="I12" s="37"/>
    </row>
    <row r="13" spans="1:9" ht="32.25" customHeight="1" x14ac:dyDescent="0.25">
      <c r="A13" s="78" t="s">
        <v>8</v>
      </c>
      <c r="B13" s="77" t="s">
        <v>9</v>
      </c>
      <c r="C13" s="114" t="s">
        <v>43</v>
      </c>
      <c r="D13" s="82" t="s">
        <v>44</v>
      </c>
      <c r="E13" s="43">
        <v>100</v>
      </c>
      <c r="F13" s="55">
        <f>E13*1/100</f>
        <v>1</v>
      </c>
      <c r="G13" s="55">
        <f>E13*10.16/100</f>
        <v>10.16</v>
      </c>
      <c r="H13" s="55">
        <f>E13*4.6/100</f>
        <v>4.5999999999999996</v>
      </c>
      <c r="I13" s="55">
        <f>E13*113.92/100</f>
        <v>113.92</v>
      </c>
    </row>
    <row r="14" spans="1:9" ht="31.5" x14ac:dyDescent="0.25">
      <c r="A14" s="11"/>
      <c r="B14" s="75" t="s">
        <v>10</v>
      </c>
      <c r="C14" s="62" t="s">
        <v>39</v>
      </c>
      <c r="D14" s="65" t="s">
        <v>40</v>
      </c>
      <c r="E14" s="26">
        <v>300</v>
      </c>
      <c r="F14" s="36">
        <f>E14*1.9/250</f>
        <v>2.2799999999999998</v>
      </c>
      <c r="G14" s="36">
        <f>E14*6.66/250</f>
        <v>7.992</v>
      </c>
      <c r="H14" s="36">
        <f>E14*10.81/250</f>
        <v>12.972</v>
      </c>
      <c r="I14" s="36">
        <f>E14*111.11/250</f>
        <v>133.33199999999999</v>
      </c>
    </row>
    <row r="15" spans="1:9" ht="15.75" x14ac:dyDescent="0.25">
      <c r="A15" s="11"/>
      <c r="B15" s="30" t="s">
        <v>11</v>
      </c>
      <c r="C15" s="56" t="s">
        <v>41</v>
      </c>
      <c r="D15" s="2" t="s">
        <v>42</v>
      </c>
      <c r="E15" s="27">
        <v>230</v>
      </c>
      <c r="F15" s="79">
        <f>E15*16/210</f>
        <v>17.523809523809526</v>
      </c>
      <c r="G15" s="36">
        <f>E15*15.9/210</f>
        <v>17.414285714285715</v>
      </c>
      <c r="H15" s="36">
        <f>E15*37.9/210</f>
        <v>41.509523809523813</v>
      </c>
      <c r="I15" s="36">
        <f>E15*359/210</f>
        <v>393.1904761904762</v>
      </c>
    </row>
    <row r="16" spans="1:9" ht="34.5" customHeight="1" x14ac:dyDescent="0.25">
      <c r="A16" s="11"/>
      <c r="B16" s="30"/>
      <c r="C16" s="62" t="s">
        <v>45</v>
      </c>
      <c r="D16" s="65" t="s">
        <v>77</v>
      </c>
      <c r="E16" s="43">
        <v>200</v>
      </c>
      <c r="F16" s="43">
        <v>0.16</v>
      </c>
      <c r="G16" s="66">
        <v>0</v>
      </c>
      <c r="H16" s="66">
        <v>14.99</v>
      </c>
      <c r="I16" s="66">
        <v>60.64</v>
      </c>
    </row>
    <row r="17" spans="1:9" ht="15.75" x14ac:dyDescent="0.25">
      <c r="A17" s="11"/>
      <c r="B17" s="31"/>
      <c r="C17" s="115"/>
      <c r="D17" s="2" t="s">
        <v>47</v>
      </c>
      <c r="E17" s="27">
        <v>50</v>
      </c>
      <c r="F17" s="36">
        <f>E17*6.9/100</f>
        <v>3.45</v>
      </c>
      <c r="G17" s="37">
        <f>1*E17/100</f>
        <v>0.5</v>
      </c>
      <c r="H17" s="37">
        <f>E17*48.3/100</f>
        <v>24.15</v>
      </c>
      <c r="I17" s="37">
        <f>E17*235/100</f>
        <v>117.5</v>
      </c>
    </row>
    <row r="18" spans="1:9" ht="15.75" x14ac:dyDescent="0.25">
      <c r="A18" s="11"/>
      <c r="B18" s="12"/>
      <c r="C18" s="115"/>
      <c r="D18" s="2" t="s">
        <v>30</v>
      </c>
      <c r="E18" s="27">
        <v>70</v>
      </c>
      <c r="F18" s="36">
        <f>E18*4.8/100</f>
        <v>3.36</v>
      </c>
      <c r="G18" s="37">
        <f>E18*1/100</f>
        <v>0.7</v>
      </c>
      <c r="H18" s="37">
        <f>E18*21.2/50</f>
        <v>29.68</v>
      </c>
      <c r="I18" s="37">
        <f>E18*100/50</f>
        <v>140</v>
      </c>
    </row>
    <row r="19" spans="1:9" ht="15.75" x14ac:dyDescent="0.25">
      <c r="A19" s="11"/>
      <c r="B19" s="18"/>
      <c r="C19" s="116"/>
      <c r="D19" s="18"/>
      <c r="E19" s="19"/>
      <c r="F19" s="20"/>
      <c r="G19" s="20"/>
      <c r="H19" s="34"/>
      <c r="I19" s="1"/>
    </row>
    <row r="20" spans="1:9" ht="31.5" x14ac:dyDescent="0.25">
      <c r="A20" s="85" t="s">
        <v>34</v>
      </c>
      <c r="B20" s="13"/>
      <c r="C20" s="117" t="s">
        <v>48</v>
      </c>
      <c r="D20" s="54" t="s">
        <v>78</v>
      </c>
      <c r="E20" s="43">
        <v>200</v>
      </c>
      <c r="F20" s="70">
        <v>1.36</v>
      </c>
      <c r="G20" s="70">
        <v>0</v>
      </c>
      <c r="H20" s="70">
        <v>29.02</v>
      </c>
      <c r="I20" s="70">
        <v>116.9</v>
      </c>
    </row>
    <row r="21" spans="1:9" ht="15.75" x14ac:dyDescent="0.25">
      <c r="A21" s="21"/>
      <c r="B21" s="18"/>
      <c r="C21" s="43"/>
      <c r="D21" s="63" t="s">
        <v>36</v>
      </c>
      <c r="E21" s="43">
        <v>50</v>
      </c>
      <c r="F21" s="43">
        <f>E21*7.5/100</f>
        <v>3.75</v>
      </c>
      <c r="G21" s="43">
        <f>E21*11.8/100</f>
        <v>5.9</v>
      </c>
      <c r="H21" s="43">
        <f>E21*79.5/100</f>
        <v>39.75</v>
      </c>
      <c r="I21" s="70">
        <f>E21*417.1/100</f>
        <v>208.55</v>
      </c>
    </row>
    <row r="22" spans="1:9" ht="15.75" x14ac:dyDescent="0.25">
      <c r="C22" s="83"/>
      <c r="D22" s="63" t="s">
        <v>50</v>
      </c>
      <c r="E22" s="43">
        <v>100</v>
      </c>
      <c r="F22" s="43">
        <v>3.4</v>
      </c>
      <c r="G22" s="43">
        <v>2.5</v>
      </c>
      <c r="H22" s="43">
        <v>14.4</v>
      </c>
      <c r="I22" s="43">
        <v>85</v>
      </c>
    </row>
  </sheetData>
  <mergeCells count="6">
    <mergeCell ref="B9:D9"/>
    <mergeCell ref="E9:G9"/>
    <mergeCell ref="G3:I3"/>
    <mergeCell ref="G4:I4"/>
    <mergeCell ref="G5:I5"/>
    <mergeCell ref="H7:I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O12" sqref="O12"/>
    </sheetView>
  </sheetViews>
  <sheetFormatPr defaultRowHeight="15" x14ac:dyDescent="0.25"/>
  <cols>
    <col min="2" max="2" width="9.140625" customWidth="1"/>
    <col min="3" max="3" width="7" customWidth="1"/>
    <col min="4" max="4" width="21.7109375" customWidth="1"/>
    <col min="5" max="5" width="7" customWidth="1"/>
    <col min="6" max="6" width="7.85546875" customWidth="1"/>
    <col min="7" max="7" width="7.42578125" customWidth="1"/>
    <col min="8" max="8" width="8.28515625" customWidth="1"/>
    <col min="9" max="9" width="8.140625" customWidth="1"/>
  </cols>
  <sheetData>
    <row r="1" spans="1:10" x14ac:dyDescent="0.25">
      <c r="A1" s="110" t="s">
        <v>15</v>
      </c>
      <c r="B1" s="110"/>
      <c r="C1" s="110"/>
      <c r="D1" s="110"/>
      <c r="E1" s="110"/>
      <c r="F1" s="110"/>
      <c r="G1" s="110"/>
      <c r="H1" s="110"/>
      <c r="I1" s="110"/>
    </row>
    <row r="3" spans="1:10" ht="18.75" x14ac:dyDescent="0.3">
      <c r="A3" s="4"/>
      <c r="B3" s="4"/>
      <c r="C3" s="4"/>
      <c r="D3" s="4"/>
      <c r="G3" s="106" t="s">
        <v>18</v>
      </c>
      <c r="H3" s="106"/>
      <c r="I3" s="106"/>
    </row>
    <row r="4" spans="1:10" ht="15.75" x14ac:dyDescent="0.25">
      <c r="A4" s="4"/>
      <c r="B4" s="4"/>
      <c r="C4" s="4"/>
      <c r="D4" s="4"/>
      <c r="G4" s="107" t="s">
        <v>19</v>
      </c>
      <c r="H4" s="107"/>
      <c r="I4" s="107"/>
    </row>
    <row r="5" spans="1:10" ht="15.75" x14ac:dyDescent="0.25">
      <c r="A5" s="4"/>
      <c r="B5" s="4"/>
      <c r="C5" s="4"/>
      <c r="D5" s="4"/>
      <c r="G5" s="108" t="s">
        <v>20</v>
      </c>
      <c r="H5" s="108"/>
      <c r="I5" s="108"/>
    </row>
    <row r="6" spans="1:10" ht="15.75" x14ac:dyDescent="0.25">
      <c r="A6" s="4"/>
      <c r="B6" s="4"/>
      <c r="C6" s="4"/>
      <c r="D6" s="4"/>
      <c r="E6" s="38"/>
      <c r="F6" s="38"/>
    </row>
    <row r="7" spans="1:10" ht="15.75" x14ac:dyDescent="0.25">
      <c r="A7" s="112" t="s">
        <v>35</v>
      </c>
      <c r="B7" s="111"/>
      <c r="C7" s="111"/>
      <c r="D7" s="111"/>
      <c r="E7" s="38"/>
      <c r="F7" s="38"/>
      <c r="H7" s="113" t="s">
        <v>76</v>
      </c>
      <c r="I7" s="113"/>
    </row>
    <row r="8" spans="1:10" ht="15.75" x14ac:dyDescent="0.25">
      <c r="A8" s="4"/>
      <c r="B8" s="4"/>
      <c r="C8" s="4"/>
      <c r="D8" s="4"/>
      <c r="E8" s="4"/>
      <c r="F8" s="4"/>
      <c r="G8" s="4"/>
      <c r="H8" s="4"/>
    </row>
    <row r="9" spans="1:10" ht="15.75" x14ac:dyDescent="0.25">
      <c r="A9" s="112"/>
      <c r="B9" s="111"/>
      <c r="C9" s="111"/>
      <c r="D9" s="111"/>
      <c r="E9" s="109" t="s">
        <v>31</v>
      </c>
      <c r="F9" s="111"/>
      <c r="G9" s="111"/>
      <c r="H9" s="44">
        <v>8</v>
      </c>
      <c r="I9" t="s">
        <v>1</v>
      </c>
    </row>
    <row r="10" spans="1:10" ht="16.5" thickBot="1" x14ac:dyDescent="0.3">
      <c r="A10" s="4"/>
      <c r="B10" s="9"/>
      <c r="C10" s="9"/>
      <c r="D10" s="9"/>
      <c r="E10" s="9"/>
      <c r="F10" s="9"/>
      <c r="G10" s="9"/>
      <c r="H10" s="9"/>
    </row>
    <row r="11" spans="1:10" ht="32.25" thickBot="1" x14ac:dyDescent="0.3">
      <c r="A11" s="22" t="s">
        <v>2</v>
      </c>
      <c r="B11" s="23" t="s">
        <v>3</v>
      </c>
      <c r="C11" s="23" t="s">
        <v>13</v>
      </c>
      <c r="D11" s="23" t="s">
        <v>4</v>
      </c>
      <c r="E11" s="25" t="s">
        <v>14</v>
      </c>
      <c r="F11" s="24" t="s">
        <v>21</v>
      </c>
      <c r="G11" s="24" t="s">
        <v>22</v>
      </c>
      <c r="H11" s="32" t="s">
        <v>23</v>
      </c>
      <c r="I11" s="35" t="s">
        <v>24</v>
      </c>
      <c r="J11" s="118"/>
    </row>
    <row r="12" spans="1:10" ht="45" x14ac:dyDescent="0.25">
      <c r="A12" s="10" t="s">
        <v>5</v>
      </c>
      <c r="B12" s="48" t="s">
        <v>6</v>
      </c>
      <c r="C12" s="99" t="s">
        <v>59</v>
      </c>
      <c r="D12" s="74" t="s">
        <v>56</v>
      </c>
      <c r="E12" s="81">
        <v>130</v>
      </c>
      <c r="F12" s="98">
        <f>E12*42.83/1000</f>
        <v>5.5678999999999998</v>
      </c>
      <c r="G12" s="98">
        <f>E12*68.64/1000</f>
        <v>8.9232000000000014</v>
      </c>
      <c r="H12" s="98">
        <f>E12*157.88/1000</f>
        <v>20.524399999999996</v>
      </c>
      <c r="I12" s="98">
        <f>E12*1430.95/1000</f>
        <v>186.02350000000001</v>
      </c>
      <c r="J12" s="119"/>
    </row>
    <row r="13" spans="1:10" ht="30" x14ac:dyDescent="0.25">
      <c r="A13" s="11"/>
      <c r="B13" s="49" t="s">
        <v>7</v>
      </c>
      <c r="C13" s="99" t="s">
        <v>60</v>
      </c>
      <c r="D13" s="103" t="s">
        <v>57</v>
      </c>
      <c r="E13" s="81">
        <v>150</v>
      </c>
      <c r="F13" s="96">
        <f>E13*2.79/200</f>
        <v>2.0924999999999998</v>
      </c>
      <c r="G13" s="96">
        <f>E13*0.04/200</f>
        <v>0.03</v>
      </c>
      <c r="H13" s="96">
        <f>E13*19.8/200</f>
        <v>14.85</v>
      </c>
      <c r="I13" s="96">
        <f>E13*90.56/200</f>
        <v>67.92</v>
      </c>
      <c r="J13" s="120"/>
    </row>
    <row r="14" spans="1:10" ht="15.75" x14ac:dyDescent="0.25">
      <c r="A14" s="11"/>
      <c r="B14" s="50" t="s">
        <v>12</v>
      </c>
      <c r="C14" s="41" t="s">
        <v>32</v>
      </c>
      <c r="D14" s="92" t="s">
        <v>25</v>
      </c>
      <c r="E14" s="46">
        <v>15</v>
      </c>
      <c r="F14" s="89">
        <f>E14*7.6/100</f>
        <v>1.1399999999999999</v>
      </c>
      <c r="G14" s="90">
        <f>E14*0.8/100</f>
        <v>0.12</v>
      </c>
      <c r="H14" s="90">
        <f>E14*49.2/100</f>
        <v>7.38</v>
      </c>
      <c r="I14" s="90">
        <f>E14*235/100</f>
        <v>35.25</v>
      </c>
      <c r="J14" s="121"/>
    </row>
    <row r="15" spans="1:10" ht="15.75" x14ac:dyDescent="0.25">
      <c r="A15" s="11"/>
      <c r="B15" s="51"/>
      <c r="C15" s="41" t="s">
        <v>61</v>
      </c>
      <c r="D15" s="80" t="s">
        <v>58</v>
      </c>
      <c r="E15" s="46">
        <v>2</v>
      </c>
      <c r="F15" s="89">
        <f>E15*0.5/100</f>
        <v>0.01</v>
      </c>
      <c r="G15" s="89">
        <f>E15*82.5/100</f>
        <v>1.65</v>
      </c>
      <c r="H15" s="89">
        <f>E15*0.8/100</f>
        <v>1.6E-2</v>
      </c>
      <c r="I15" s="89">
        <f>E15*748/100</f>
        <v>14.96</v>
      </c>
      <c r="J15" s="121"/>
    </row>
    <row r="16" spans="1:10" ht="16.5" thickBot="1" x14ac:dyDescent="0.3">
      <c r="A16" s="14"/>
      <c r="B16" s="61"/>
      <c r="C16" s="56"/>
      <c r="D16" s="2"/>
      <c r="E16" s="27"/>
      <c r="F16" s="27"/>
      <c r="G16" s="26"/>
      <c r="H16" s="26"/>
      <c r="I16" s="26"/>
      <c r="J16" s="118"/>
    </row>
    <row r="17" spans="1:10" ht="15.75" x14ac:dyDescent="0.25">
      <c r="A17" s="11"/>
      <c r="B17" s="51"/>
      <c r="C17" s="56"/>
      <c r="D17" s="2"/>
      <c r="E17" s="27"/>
      <c r="F17" s="37"/>
      <c r="G17" s="37"/>
      <c r="H17" s="37"/>
      <c r="I17" s="37"/>
      <c r="J17" s="118"/>
    </row>
    <row r="18" spans="1:10" ht="30.75" x14ac:dyDescent="0.3">
      <c r="A18" s="60" t="s">
        <v>33</v>
      </c>
      <c r="B18" s="71"/>
      <c r="C18" s="72" t="s">
        <v>63</v>
      </c>
      <c r="D18" s="87" t="s">
        <v>62</v>
      </c>
      <c r="E18" s="46">
        <v>95</v>
      </c>
      <c r="F18" s="90">
        <f>E18*0.8/100</f>
        <v>0.76</v>
      </c>
      <c r="G18" s="90">
        <f>E18*0.2/100</f>
        <v>0.19</v>
      </c>
      <c r="H18" s="90">
        <f>E18*11.5/100</f>
        <v>10.925000000000001</v>
      </c>
      <c r="I18" s="90">
        <f>E18*38/100</f>
        <v>36.1</v>
      </c>
      <c r="J18" s="122"/>
    </row>
    <row r="19" spans="1:10" ht="16.5" thickBot="1" x14ac:dyDescent="0.3">
      <c r="A19" s="14"/>
      <c r="B19" s="15"/>
      <c r="C19" s="73"/>
      <c r="D19" s="28"/>
      <c r="E19" s="3"/>
      <c r="F19" s="16"/>
      <c r="G19" s="16"/>
      <c r="H19" s="33"/>
      <c r="I19" s="52"/>
      <c r="J19" s="118"/>
    </row>
    <row r="20" spans="1:10" ht="30.75" x14ac:dyDescent="0.3">
      <c r="A20" s="17" t="s">
        <v>8</v>
      </c>
      <c r="B20" s="42" t="s">
        <v>9</v>
      </c>
      <c r="C20" s="62" t="s">
        <v>65</v>
      </c>
      <c r="D20" s="87" t="s">
        <v>64</v>
      </c>
      <c r="E20" s="93">
        <v>40</v>
      </c>
      <c r="F20" s="89">
        <f>E20*1/100</f>
        <v>0.4</v>
      </c>
      <c r="G20" s="90">
        <f>E20*10.2/100</f>
        <v>4.08</v>
      </c>
      <c r="H20" s="90">
        <f>E20*3.46/100</f>
        <v>1.3840000000000001</v>
      </c>
      <c r="I20" s="90">
        <f>E20*111.74/100</f>
        <v>44.695999999999998</v>
      </c>
      <c r="J20" s="122"/>
    </row>
    <row r="21" spans="1:10" ht="30" x14ac:dyDescent="0.25">
      <c r="A21" s="11"/>
      <c r="B21" s="29" t="s">
        <v>10</v>
      </c>
      <c r="C21" s="99" t="s">
        <v>68</v>
      </c>
      <c r="D21" s="87" t="s">
        <v>66</v>
      </c>
      <c r="E21" s="93">
        <v>150</v>
      </c>
      <c r="F21" s="89">
        <f>E21*7.11/1000</f>
        <v>1.0665</v>
      </c>
      <c r="G21" s="89">
        <f>E21*20.55/1000</f>
        <v>3.0825</v>
      </c>
      <c r="H21" s="89">
        <f>E21*44.97/1000</f>
        <v>6.7454999999999998</v>
      </c>
      <c r="I21" s="89">
        <f>E21*406.27/1000</f>
        <v>60.9405</v>
      </c>
      <c r="J21" s="119"/>
    </row>
    <row r="22" spans="1:10" ht="30" x14ac:dyDescent="0.25">
      <c r="A22" s="11"/>
      <c r="B22" s="30" t="s">
        <v>11</v>
      </c>
      <c r="C22" s="99" t="s">
        <v>69</v>
      </c>
      <c r="D22" s="87" t="s">
        <v>42</v>
      </c>
      <c r="E22" s="46">
        <v>150</v>
      </c>
      <c r="F22" s="95">
        <f>E22*13.16/210</f>
        <v>9.4</v>
      </c>
      <c r="G22" s="89">
        <f>E22*13.12/210</f>
        <v>9.3714285714285701</v>
      </c>
      <c r="H22" s="89">
        <f>E22*36.43/210</f>
        <v>26.021428571428572</v>
      </c>
      <c r="I22" s="89">
        <f>E22*311.65/210</f>
        <v>222.60714285714286</v>
      </c>
      <c r="J22" s="119"/>
    </row>
    <row r="23" spans="1:10" ht="45" x14ac:dyDescent="0.25">
      <c r="A23" s="11"/>
      <c r="B23" s="31"/>
      <c r="C23" s="99" t="s">
        <v>70</v>
      </c>
      <c r="D23" s="74" t="s">
        <v>67</v>
      </c>
      <c r="E23" s="81">
        <v>150</v>
      </c>
      <c r="F23" s="96">
        <f>E23*0.48/200</f>
        <v>0.36</v>
      </c>
      <c r="G23" s="96">
        <f>E23*0.28/200</f>
        <v>0.21000000000000005</v>
      </c>
      <c r="H23" s="96">
        <f>E23*14.07/200</f>
        <v>10.5525</v>
      </c>
      <c r="I23" s="96">
        <f>E23*60.68/200</f>
        <v>45.51</v>
      </c>
      <c r="J23" s="119"/>
    </row>
    <row r="24" spans="1:10" ht="15.75" x14ac:dyDescent="0.25">
      <c r="A24" s="11"/>
      <c r="B24" s="12"/>
      <c r="C24" s="86" t="s">
        <v>32</v>
      </c>
      <c r="D24" s="97" t="s">
        <v>25</v>
      </c>
      <c r="E24" s="81">
        <v>20</v>
      </c>
      <c r="F24" s="96">
        <f>E24*7.6/100</f>
        <v>1.52</v>
      </c>
      <c r="G24" s="98">
        <f>E24*0.8/100</f>
        <v>0.16</v>
      </c>
      <c r="H24" s="98">
        <f>E24*49.2/100</f>
        <v>9.84</v>
      </c>
      <c r="I24" s="98">
        <f>E24*235/100</f>
        <v>47</v>
      </c>
      <c r="J24" s="123"/>
    </row>
    <row r="25" spans="1:10" ht="15.75" x14ac:dyDescent="0.25">
      <c r="A25" s="11"/>
      <c r="B25" s="18"/>
      <c r="C25" s="99" t="s">
        <v>71</v>
      </c>
      <c r="D25" s="82" t="s">
        <v>37</v>
      </c>
      <c r="E25" s="81">
        <v>30</v>
      </c>
      <c r="F25" s="96">
        <f>E25*6.6/100</f>
        <v>1.98</v>
      </c>
      <c r="G25" s="98">
        <f>E25*1.2/100</f>
        <v>0.36</v>
      </c>
      <c r="H25" s="98">
        <f>E25*33.4/100</f>
        <v>10.02</v>
      </c>
      <c r="I25" s="98">
        <f>E25*174/100</f>
        <v>52.2</v>
      </c>
      <c r="J25" s="119"/>
    </row>
    <row r="26" spans="1:10" ht="15.75" x14ac:dyDescent="0.25">
      <c r="A26" s="4"/>
      <c r="B26" s="18"/>
      <c r="C26" s="57"/>
      <c r="D26" s="63"/>
      <c r="E26" s="43"/>
      <c r="F26" s="70"/>
      <c r="G26" s="55"/>
      <c r="H26" s="55"/>
      <c r="I26" s="55"/>
      <c r="J26" s="119"/>
    </row>
    <row r="27" spans="1:10" ht="15.75" x14ac:dyDescent="0.25">
      <c r="A27" s="4"/>
      <c r="B27" s="18"/>
      <c r="C27" s="57"/>
      <c r="D27" s="63"/>
      <c r="E27" s="43"/>
      <c r="F27" s="70"/>
      <c r="G27" s="55"/>
      <c r="H27" s="55"/>
      <c r="I27" s="55"/>
      <c r="J27" s="119"/>
    </row>
    <row r="28" spans="1:10" ht="15.75" x14ac:dyDescent="0.25">
      <c r="A28" s="59" t="s">
        <v>34</v>
      </c>
      <c r="B28" s="58"/>
      <c r="C28" s="94" t="s">
        <v>74</v>
      </c>
      <c r="D28" s="92" t="s">
        <v>72</v>
      </c>
      <c r="E28" s="100">
        <v>64</v>
      </c>
      <c r="F28" s="101">
        <f>E28*8.38/160</f>
        <v>3.3520000000000003</v>
      </c>
      <c r="G28" s="101">
        <f>E28*9.4/160</f>
        <v>3.7600000000000002</v>
      </c>
      <c r="H28" s="101">
        <f>E28*64.02/160</f>
        <v>25.607999999999997</v>
      </c>
      <c r="I28" s="101">
        <f>E28*341.82/160</f>
        <v>136.72800000000001</v>
      </c>
      <c r="J28" s="119"/>
    </row>
    <row r="29" spans="1:10" ht="15.75" x14ac:dyDescent="0.25">
      <c r="A29" s="1"/>
      <c r="B29" s="1"/>
      <c r="C29" s="94" t="s">
        <v>75</v>
      </c>
      <c r="D29" s="102" t="s">
        <v>73</v>
      </c>
      <c r="E29" s="100">
        <v>130</v>
      </c>
      <c r="F29" s="101">
        <f>E29*5.59/200</f>
        <v>3.6334999999999997</v>
      </c>
      <c r="G29" s="101">
        <f>E29*6.38/200</f>
        <v>4.1470000000000002</v>
      </c>
      <c r="H29" s="101">
        <f>E29*10.08/200</f>
        <v>6.5520000000000005</v>
      </c>
      <c r="I29" s="101">
        <f>E29*120.12/200</f>
        <v>78.078000000000003</v>
      </c>
      <c r="J29" s="119"/>
    </row>
    <row r="30" spans="1:10" x14ac:dyDescent="0.25">
      <c r="J30" s="118"/>
    </row>
  </sheetData>
  <mergeCells count="8">
    <mergeCell ref="A1:I1"/>
    <mergeCell ref="G3:I3"/>
    <mergeCell ref="G4:I4"/>
    <mergeCell ref="G5:I5"/>
    <mergeCell ref="E9:G9"/>
    <mergeCell ref="A9:D9"/>
    <mergeCell ref="A7:D7"/>
    <mergeCell ref="H7:I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6" workbookViewId="0">
      <selection activeCell="M21" sqref="M21"/>
    </sheetView>
  </sheetViews>
  <sheetFormatPr defaultRowHeight="15" x14ac:dyDescent="0.25"/>
  <cols>
    <col min="3" max="3" width="7.28515625" customWidth="1"/>
    <col min="4" max="4" width="18.85546875" customWidth="1"/>
  </cols>
  <sheetData>
    <row r="1" spans="1:9" x14ac:dyDescent="0.25">
      <c r="A1" s="110" t="s">
        <v>15</v>
      </c>
      <c r="B1" s="110"/>
      <c r="C1" s="110"/>
      <c r="D1" s="110"/>
      <c r="E1" s="110"/>
      <c r="F1" s="110"/>
      <c r="G1" s="110"/>
      <c r="H1" s="110"/>
      <c r="I1" s="110"/>
    </row>
    <row r="3" spans="1:9" ht="18.75" x14ac:dyDescent="0.3">
      <c r="A3" s="4"/>
      <c r="B3" s="4"/>
      <c r="C3" s="4"/>
      <c r="D3" s="4"/>
      <c r="G3" s="106" t="s">
        <v>18</v>
      </c>
      <c r="H3" s="106"/>
      <c r="I3" s="106"/>
    </row>
    <row r="4" spans="1:9" ht="15.75" x14ac:dyDescent="0.25">
      <c r="A4" s="4"/>
      <c r="B4" s="4"/>
      <c r="C4" s="4"/>
      <c r="D4" s="4"/>
      <c r="G4" s="107" t="s">
        <v>19</v>
      </c>
      <c r="H4" s="107"/>
      <c r="I4" s="107"/>
    </row>
    <row r="5" spans="1:9" ht="15.75" x14ac:dyDescent="0.25">
      <c r="A5" s="4"/>
      <c r="B5" s="4"/>
      <c r="C5" s="4"/>
      <c r="D5" s="4"/>
      <c r="G5" s="108" t="s">
        <v>20</v>
      </c>
      <c r="H5" s="108"/>
      <c r="I5" s="108"/>
    </row>
    <row r="6" spans="1:9" ht="15.75" x14ac:dyDescent="0.25">
      <c r="A6" s="4"/>
      <c r="B6" s="4"/>
      <c r="C6" s="4"/>
      <c r="D6" s="4"/>
      <c r="E6" s="38"/>
      <c r="F6" s="38"/>
    </row>
    <row r="7" spans="1:9" ht="15.75" x14ac:dyDescent="0.25">
      <c r="A7" s="112" t="s">
        <v>35</v>
      </c>
      <c r="B7" s="111"/>
      <c r="C7" s="111"/>
      <c r="D7" s="111"/>
      <c r="E7" s="38"/>
      <c r="F7" s="38"/>
      <c r="H7" s="113" t="s">
        <v>76</v>
      </c>
      <c r="I7" s="113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112"/>
      <c r="B9" s="111"/>
      <c r="C9" s="111"/>
      <c r="D9" s="111"/>
      <c r="E9" s="109" t="s">
        <v>38</v>
      </c>
      <c r="F9" s="111"/>
      <c r="G9" s="111"/>
      <c r="H9" s="44">
        <v>8</v>
      </c>
      <c r="I9" t="s">
        <v>1</v>
      </c>
    </row>
    <row r="10" spans="1:9" ht="16.5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32.25" thickBot="1" x14ac:dyDescent="0.3">
      <c r="A11" s="22" t="s">
        <v>2</v>
      </c>
      <c r="B11" s="23" t="s">
        <v>3</v>
      </c>
      <c r="C11" s="23" t="s">
        <v>13</v>
      </c>
      <c r="D11" s="23" t="s">
        <v>4</v>
      </c>
      <c r="E11" s="25" t="s">
        <v>14</v>
      </c>
      <c r="F11" s="24" t="s">
        <v>21</v>
      </c>
      <c r="G11" s="24" t="s">
        <v>22</v>
      </c>
      <c r="H11" s="32" t="s">
        <v>23</v>
      </c>
      <c r="I11" s="35" t="s">
        <v>24</v>
      </c>
    </row>
    <row r="12" spans="1:9" ht="45" x14ac:dyDescent="0.25">
      <c r="A12" s="91" t="s">
        <v>5</v>
      </c>
      <c r="B12" s="48" t="s">
        <v>6</v>
      </c>
      <c r="C12" s="99" t="s">
        <v>59</v>
      </c>
      <c r="D12" s="74" t="s">
        <v>56</v>
      </c>
      <c r="E12" s="81">
        <v>180</v>
      </c>
      <c r="F12" s="98">
        <f>E12*42.83/1000</f>
        <v>7.7093999999999996</v>
      </c>
      <c r="G12" s="98">
        <f>E12*68.64/1000</f>
        <v>12.3552</v>
      </c>
      <c r="H12" s="98">
        <f>E12*157.88/1000</f>
        <v>28.418399999999998</v>
      </c>
      <c r="I12" s="98">
        <f>E12*1430.95/1000</f>
        <v>257.57100000000003</v>
      </c>
    </row>
    <row r="13" spans="1:9" ht="30" x14ac:dyDescent="0.25">
      <c r="A13" s="11"/>
      <c r="B13" s="49" t="s">
        <v>7</v>
      </c>
      <c r="C13" s="99" t="s">
        <v>60</v>
      </c>
      <c r="D13" s="103" t="s">
        <v>57</v>
      </c>
      <c r="E13" s="81">
        <v>180</v>
      </c>
      <c r="F13" s="96">
        <f>E13*2.79/200</f>
        <v>2.5110000000000001</v>
      </c>
      <c r="G13" s="96">
        <f>E13*0.04/200</f>
        <v>3.6000000000000004E-2</v>
      </c>
      <c r="H13" s="96">
        <f>E13*19.8/200</f>
        <v>17.82</v>
      </c>
      <c r="I13" s="96">
        <f>E13*90.56/200</f>
        <v>81.504000000000005</v>
      </c>
    </row>
    <row r="14" spans="1:9" ht="15.75" x14ac:dyDescent="0.25">
      <c r="A14" s="11"/>
      <c r="B14" s="50" t="s">
        <v>12</v>
      </c>
      <c r="C14" s="41" t="s">
        <v>32</v>
      </c>
      <c r="D14" s="92" t="s">
        <v>25</v>
      </c>
      <c r="E14" s="81">
        <v>30</v>
      </c>
      <c r="F14" s="96">
        <f>E14*7.6/100</f>
        <v>2.2799999999999998</v>
      </c>
      <c r="G14" s="98">
        <f>E14*0.8/100</f>
        <v>0.24</v>
      </c>
      <c r="H14" s="98">
        <f>E14*49.2/100</f>
        <v>14.76</v>
      </c>
      <c r="I14" s="98">
        <f>E14*235/100</f>
        <v>70.5</v>
      </c>
    </row>
    <row r="15" spans="1:9" ht="15.75" x14ac:dyDescent="0.25">
      <c r="A15" s="11"/>
      <c r="B15" s="51"/>
      <c r="C15" s="41" t="s">
        <v>61</v>
      </c>
      <c r="D15" s="80" t="s">
        <v>58</v>
      </c>
      <c r="E15" s="81">
        <v>3</v>
      </c>
      <c r="F15" s="96">
        <f>E15*0.5/100</f>
        <v>1.4999999999999999E-2</v>
      </c>
      <c r="G15" s="96">
        <f>E15*82.5/100</f>
        <v>2.4750000000000001</v>
      </c>
      <c r="H15" s="96">
        <f>E15*0.8/100</f>
        <v>2.4000000000000004E-2</v>
      </c>
      <c r="I15" s="96">
        <f>E15*748/100</f>
        <v>22.44</v>
      </c>
    </row>
    <row r="16" spans="1:9" ht="16.5" thickBot="1" x14ac:dyDescent="0.3">
      <c r="A16" s="14"/>
      <c r="B16" s="61"/>
      <c r="C16" s="56"/>
      <c r="D16" s="2"/>
      <c r="E16" s="27"/>
      <c r="F16" s="27"/>
      <c r="G16" s="26"/>
      <c r="H16" s="26"/>
      <c r="I16" s="26"/>
    </row>
    <row r="17" spans="1:10" ht="15.75" x14ac:dyDescent="0.25">
      <c r="A17" s="11"/>
      <c r="B17" s="51"/>
      <c r="C17" s="56"/>
      <c r="D17" s="2"/>
      <c r="E17" s="27"/>
      <c r="F17" s="37"/>
      <c r="G17" s="37"/>
      <c r="H17" s="37"/>
      <c r="I17" s="37"/>
    </row>
    <row r="18" spans="1:10" ht="30" customHeight="1" x14ac:dyDescent="0.25">
      <c r="A18" s="60" t="s">
        <v>33</v>
      </c>
      <c r="B18" s="71"/>
      <c r="C18" s="72" t="s">
        <v>63</v>
      </c>
      <c r="D18" s="87" t="s">
        <v>62</v>
      </c>
      <c r="E18" s="81">
        <v>100</v>
      </c>
      <c r="F18" s="98">
        <f>E18*0.8/100</f>
        <v>0.8</v>
      </c>
      <c r="G18" s="98">
        <f>E18*0.2/100</f>
        <v>0.2</v>
      </c>
      <c r="H18" s="98">
        <f>E18*11.5/100</f>
        <v>11.5</v>
      </c>
      <c r="I18" s="98">
        <f>E18*38/100</f>
        <v>38</v>
      </c>
    </row>
    <row r="19" spans="1:10" ht="16.5" thickBot="1" x14ac:dyDescent="0.3">
      <c r="A19" s="14"/>
      <c r="B19" s="15"/>
      <c r="C19" s="73"/>
      <c r="D19" s="28"/>
      <c r="E19" s="3"/>
      <c r="F19" s="16"/>
      <c r="G19" s="16"/>
      <c r="H19" s="33"/>
      <c r="I19" s="52"/>
    </row>
    <row r="20" spans="1:10" ht="30" x14ac:dyDescent="0.25">
      <c r="A20" s="84" t="s">
        <v>8</v>
      </c>
      <c r="B20" s="42" t="s">
        <v>9</v>
      </c>
      <c r="C20" s="62" t="s">
        <v>65</v>
      </c>
      <c r="D20" s="87" t="s">
        <v>64</v>
      </c>
      <c r="E20" s="88">
        <v>60</v>
      </c>
      <c r="F20" s="96">
        <f>E20*1/100</f>
        <v>0.6</v>
      </c>
      <c r="G20" s="98">
        <f>E20*10.2/100</f>
        <v>6.12</v>
      </c>
      <c r="H20" s="98">
        <f>E20*3.46/100</f>
        <v>2.0760000000000001</v>
      </c>
      <c r="I20" s="98">
        <f>E20*111.74/100</f>
        <v>67.043999999999997</v>
      </c>
      <c r="J20" s="64"/>
    </row>
    <row r="21" spans="1:10" ht="30" x14ac:dyDescent="0.25">
      <c r="A21" s="11"/>
      <c r="B21" s="29" t="s">
        <v>10</v>
      </c>
      <c r="C21" s="99" t="s">
        <v>68</v>
      </c>
      <c r="D21" s="87" t="s">
        <v>66</v>
      </c>
      <c r="E21" s="88">
        <v>200</v>
      </c>
      <c r="F21" s="96">
        <f>E21*7.11/1000</f>
        <v>1.4219999999999999</v>
      </c>
      <c r="G21" s="96">
        <f>E21*20.55/1000</f>
        <v>4.1100000000000003</v>
      </c>
      <c r="H21" s="96">
        <f>E21*44.97/1000</f>
        <v>8.9939999999999998</v>
      </c>
      <c r="I21" s="96">
        <f>E21*406.27/1000</f>
        <v>81.254000000000005</v>
      </c>
    </row>
    <row r="22" spans="1:10" ht="30" x14ac:dyDescent="0.25">
      <c r="A22" s="11"/>
      <c r="B22" s="30" t="s">
        <v>11</v>
      </c>
      <c r="C22" s="99" t="s">
        <v>69</v>
      </c>
      <c r="D22" s="87" t="s">
        <v>42</v>
      </c>
      <c r="E22" s="81">
        <v>190</v>
      </c>
      <c r="F22" s="104">
        <f>E22*13.16/210</f>
        <v>11.906666666666666</v>
      </c>
      <c r="G22" s="96">
        <f>E22*13.12/210</f>
        <v>11.87047619047619</v>
      </c>
      <c r="H22" s="96">
        <f>E22*36.43/210</f>
        <v>32.960476190476193</v>
      </c>
      <c r="I22" s="96">
        <f>E22*311.65/210</f>
        <v>281.96904761904756</v>
      </c>
    </row>
    <row r="23" spans="1:10" ht="45" x14ac:dyDescent="0.25">
      <c r="A23" s="11"/>
      <c r="B23" s="31"/>
      <c r="C23" s="99" t="s">
        <v>70</v>
      </c>
      <c r="D23" s="74" t="s">
        <v>67</v>
      </c>
      <c r="E23" s="81">
        <v>200</v>
      </c>
      <c r="F23" s="96">
        <f>E23*0.48/200</f>
        <v>0.48</v>
      </c>
      <c r="G23" s="96">
        <f>E23*0.28/200</f>
        <v>0.28000000000000003</v>
      </c>
      <c r="H23" s="96">
        <f>E23*14.07/200</f>
        <v>14.07</v>
      </c>
      <c r="I23" s="96">
        <f>E23*60.68/200</f>
        <v>60.68</v>
      </c>
    </row>
    <row r="24" spans="1:10" ht="15.75" x14ac:dyDescent="0.25">
      <c r="A24" s="11"/>
      <c r="B24" s="12"/>
      <c r="C24" s="86" t="s">
        <v>32</v>
      </c>
      <c r="D24" s="97" t="s">
        <v>25</v>
      </c>
      <c r="E24" s="81">
        <v>30</v>
      </c>
      <c r="F24" s="96">
        <f>E24*7.6/100</f>
        <v>2.2799999999999998</v>
      </c>
      <c r="G24" s="98">
        <f>E24*0.8/100</f>
        <v>0.24</v>
      </c>
      <c r="H24" s="98">
        <f>E24*49.2/100</f>
        <v>14.76</v>
      </c>
      <c r="I24" s="98">
        <f>E24*235/100</f>
        <v>70.5</v>
      </c>
    </row>
    <row r="25" spans="1:10" ht="15.75" x14ac:dyDescent="0.25">
      <c r="A25" s="11"/>
      <c r="B25" s="18"/>
      <c r="C25" s="99" t="s">
        <v>71</v>
      </c>
      <c r="D25" s="82" t="s">
        <v>37</v>
      </c>
      <c r="E25" s="81">
        <v>40</v>
      </c>
      <c r="F25" s="96">
        <f>E25*6.6/100</f>
        <v>2.64</v>
      </c>
      <c r="G25" s="98">
        <f>E25*1.2/100</f>
        <v>0.48</v>
      </c>
      <c r="H25" s="98">
        <f>E25*33.4/100</f>
        <v>13.36</v>
      </c>
      <c r="I25" s="98">
        <f>E25*174/100</f>
        <v>69.599999999999994</v>
      </c>
    </row>
    <row r="26" spans="1:10" ht="15.75" x14ac:dyDescent="0.25">
      <c r="A26" s="4"/>
      <c r="B26" s="18"/>
      <c r="C26" s="57"/>
      <c r="D26" s="63"/>
      <c r="E26" s="43"/>
      <c r="F26" s="70"/>
      <c r="G26" s="55"/>
      <c r="H26" s="55"/>
      <c r="I26" s="55"/>
    </row>
    <row r="27" spans="1:10" ht="15.75" x14ac:dyDescent="0.25">
      <c r="A27" s="4"/>
      <c r="B27" s="18"/>
      <c r="C27" s="57"/>
      <c r="D27" s="63"/>
      <c r="E27" s="43"/>
      <c r="F27" s="70"/>
      <c r="G27" s="55"/>
      <c r="H27" s="55"/>
      <c r="I27" s="55"/>
    </row>
    <row r="28" spans="1:10" x14ac:dyDescent="0.25">
      <c r="A28" s="59" t="s">
        <v>34</v>
      </c>
      <c r="B28" s="58"/>
      <c r="C28" s="94" t="s">
        <v>74</v>
      </c>
      <c r="D28" s="92" t="s">
        <v>72</v>
      </c>
      <c r="E28" s="100">
        <v>64</v>
      </c>
      <c r="F28" s="101">
        <f>E28*8.38/160</f>
        <v>3.3520000000000003</v>
      </c>
      <c r="G28" s="101">
        <f>E28*9.4/160</f>
        <v>3.7600000000000002</v>
      </c>
      <c r="H28" s="101">
        <f>E28*64.02/160</f>
        <v>25.607999999999997</v>
      </c>
      <c r="I28" s="101">
        <f>E28*341.82/160</f>
        <v>136.72800000000001</v>
      </c>
    </row>
    <row r="29" spans="1:10" x14ac:dyDescent="0.25">
      <c r="A29" s="1"/>
      <c r="B29" s="1"/>
      <c r="C29" s="94" t="s">
        <v>75</v>
      </c>
      <c r="D29" s="102" t="s">
        <v>73</v>
      </c>
      <c r="E29" s="100">
        <v>130</v>
      </c>
      <c r="F29" s="101">
        <f>E29*5.59/200</f>
        <v>3.6334999999999997</v>
      </c>
      <c r="G29" s="101">
        <f>E29*6.38/200</f>
        <v>4.1470000000000002</v>
      </c>
      <c r="H29" s="101">
        <f>E29*10.08/200</f>
        <v>6.5520000000000005</v>
      </c>
      <c r="I29" s="101">
        <f>E29*120.12/200</f>
        <v>78.078000000000003</v>
      </c>
      <c r="J29" s="53"/>
    </row>
  </sheetData>
  <mergeCells count="8">
    <mergeCell ref="A1:I1"/>
    <mergeCell ref="A9:D9"/>
    <mergeCell ref="G3:I3"/>
    <mergeCell ref="G4:I4"/>
    <mergeCell ref="G5:I5"/>
    <mergeCell ref="E9:G9"/>
    <mergeCell ref="A7:D7"/>
    <mergeCell ref="H7:I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7-11 лет</vt:lpstr>
      <vt:lpstr>12 и старше</vt:lpstr>
      <vt:lpstr>до 3 лет</vt:lpstr>
      <vt:lpstr>3-7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2025-09-14T16:12:22Z</cp:lastPrinted>
  <dcterms:created xsi:type="dcterms:W3CDTF">2015-06-05T18:19:34Z</dcterms:created>
  <dcterms:modified xsi:type="dcterms:W3CDTF">2025-09-14T16:12:29Z</dcterms:modified>
</cp:coreProperties>
</file>