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activeTab="3"/>
  </bookViews>
  <sheets>
    <sheet name="7-11 лет" sheetId="1" r:id="rId1"/>
    <sheet name="12 и старше" sheetId="2" r:id="rId2"/>
    <sheet name="до 3 лет" sheetId="3" r:id="rId3"/>
    <sheet name="3-7 лет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" l="1"/>
  <c r="H16" i="2"/>
  <c r="G16" i="2"/>
  <c r="F16" i="2"/>
  <c r="I23" i="2" l="1"/>
  <c r="H23" i="2"/>
  <c r="G23" i="2"/>
  <c r="F23" i="2"/>
  <c r="I22" i="2"/>
  <c r="H22" i="2"/>
  <c r="G22" i="2"/>
  <c r="F22" i="2"/>
  <c r="I29" i="4"/>
  <c r="H29" i="4"/>
  <c r="F29" i="4"/>
  <c r="I28" i="4"/>
  <c r="H28" i="4"/>
  <c r="G28" i="4"/>
  <c r="F28" i="4"/>
  <c r="I26" i="4"/>
  <c r="H26" i="4"/>
  <c r="G26" i="4"/>
  <c r="F26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8" i="4"/>
  <c r="H18" i="4"/>
  <c r="G18" i="4"/>
  <c r="F18" i="4"/>
  <c r="I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30" i="3"/>
  <c r="H30" i="3"/>
  <c r="F30" i="3"/>
  <c r="I29" i="3"/>
  <c r="H29" i="3"/>
  <c r="G29" i="3"/>
  <c r="F29" i="3"/>
  <c r="I26" i="3"/>
  <c r="H26" i="3"/>
  <c r="G26" i="3"/>
  <c r="F26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8" i="3"/>
  <c r="H18" i="3"/>
  <c r="G18" i="3"/>
  <c r="F18" i="3"/>
  <c r="I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19" i="2" l="1"/>
  <c r="H19" i="2"/>
  <c r="G19" i="2"/>
  <c r="F19" i="2"/>
  <c r="I18" i="2"/>
  <c r="H18" i="2"/>
  <c r="G18" i="2"/>
  <c r="F18" i="2"/>
  <c r="I13" i="2"/>
  <c r="H13" i="2"/>
  <c r="G13" i="2"/>
  <c r="F13" i="2"/>
  <c r="I15" i="2"/>
  <c r="H15" i="2"/>
  <c r="G15" i="2"/>
  <c r="F15" i="2"/>
  <c r="I14" i="2"/>
  <c r="H14" i="2"/>
  <c r="G14" i="2"/>
  <c r="F14" i="2"/>
  <c r="I29" i="1"/>
  <c r="H29" i="1"/>
  <c r="G29" i="1"/>
  <c r="F29" i="1"/>
  <c r="I28" i="1"/>
  <c r="H28" i="1"/>
  <c r="G28" i="1"/>
  <c r="F28" i="1"/>
  <c r="I25" i="1"/>
  <c r="H25" i="1"/>
  <c r="G25" i="1"/>
  <c r="F25" i="1"/>
  <c r="I24" i="1"/>
  <c r="H24" i="1"/>
  <c r="G24" i="1"/>
  <c r="F24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G14" i="1"/>
  <c r="F14" i="1"/>
  <c r="I12" i="1"/>
  <c r="H12" i="1"/>
  <c r="G12" i="1"/>
  <c r="F12" i="1"/>
</calcChain>
</file>

<file path=xl/sharedStrings.xml><?xml version="1.0" encoding="utf-8"?>
<sst xmlns="http://schemas.openxmlformats.org/spreadsheetml/2006/main" count="204" uniqueCount="84">
  <si>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</si>
  <si>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</si>
  <si>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</si>
  <si>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</si>
  <si>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</si>
  <si>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</si>
  <si>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</si>
  <si>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</si>
  <si>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</si>
  <si>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</si>
  <si>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</si>
  <si>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</si>
  <si>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</t>
  </si>
  <si>
    <t>№ рец.</t>
  </si>
  <si>
    <t>Выход, г</t>
  </si>
  <si>
    <t>МБОУ "КСОШ им.Героя РФ С.В.Перца"</t>
  </si>
  <si>
    <t>7-11 лет</t>
  </si>
  <si>
    <t>Утверждено</t>
  </si>
  <si>
    <t>Директор школы</t>
  </si>
  <si>
    <t>_____Ю.П.Артиева</t>
  </si>
  <si>
    <t>Б</t>
  </si>
  <si>
    <t>Ж</t>
  </si>
  <si>
    <t>У</t>
  </si>
  <si>
    <t>кКал</t>
  </si>
  <si>
    <t>Хлеб пшеничный</t>
  </si>
  <si>
    <t>12 лет и старше</t>
  </si>
  <si>
    <t>масло сливочное</t>
  </si>
  <si>
    <t>хлеб пшеничный</t>
  </si>
  <si>
    <t>№ 365</t>
  </si>
  <si>
    <t>хлеб ржаной</t>
  </si>
  <si>
    <t>до 3 лет</t>
  </si>
  <si>
    <t>№ 122</t>
  </si>
  <si>
    <t>II завтрак:</t>
  </si>
  <si>
    <t>Полдник</t>
  </si>
  <si>
    <t>Дошкольное отделение</t>
  </si>
  <si>
    <t>№ 108</t>
  </si>
  <si>
    <t>№54-4гн</t>
  </si>
  <si>
    <t>№ 366</t>
  </si>
  <si>
    <t>сыр</t>
  </si>
  <si>
    <t>печенье</t>
  </si>
  <si>
    <t>№ 247</t>
  </si>
  <si>
    <t>№ 47</t>
  </si>
  <si>
    <t>Суп картоф. с макар. изделиями</t>
  </si>
  <si>
    <t>№241</t>
  </si>
  <si>
    <t>Картофельное пюре</t>
  </si>
  <si>
    <t>№170</t>
  </si>
  <si>
    <t>№54-11хн</t>
  </si>
  <si>
    <t>компот из брусники</t>
  </si>
  <si>
    <t xml:space="preserve">молоко кипяченое </t>
  </si>
  <si>
    <t>№321</t>
  </si>
  <si>
    <t>слойка с повидлом</t>
  </si>
  <si>
    <t>конфеты шоколадные</t>
  </si>
  <si>
    <t>№288</t>
  </si>
  <si>
    <t>Каша пшеничная вязкая</t>
  </si>
  <si>
    <t>№ 271</t>
  </si>
  <si>
    <t>Чай с молоком</t>
  </si>
  <si>
    <t>№ 507</t>
  </si>
  <si>
    <t>Сыр сычужный твердый</t>
  </si>
  <si>
    <t>№ 114</t>
  </si>
  <si>
    <t>Сок фруктовый</t>
  </si>
  <si>
    <t>№532</t>
  </si>
  <si>
    <t>Овощи натуральные солен. (огурец)</t>
  </si>
  <si>
    <t>№121</t>
  </si>
  <si>
    <t>Суп картофельный с макаронными изделиями</t>
  </si>
  <si>
    <t>Рыба, запеченная с яйцом</t>
  </si>
  <si>
    <t>№161</t>
  </si>
  <si>
    <t>№441</t>
  </si>
  <si>
    <t>№352</t>
  </si>
  <si>
    <t xml:space="preserve">Компот из свежих плодов или ягод </t>
  </si>
  <si>
    <t>Хлеб ржаной</t>
  </si>
  <si>
    <t>№521</t>
  </si>
  <si>
    <t>№122</t>
  </si>
  <si>
    <t>№123</t>
  </si>
  <si>
    <t>Пирожки, печенные из сдобного теста с фаршем (капуста)</t>
  </si>
  <si>
    <t xml:space="preserve">Напиток из шиповника </t>
  </si>
  <si>
    <t>№557</t>
  </si>
  <si>
    <t>№533</t>
  </si>
  <si>
    <t>3-7 лет</t>
  </si>
  <si>
    <t>Каша молочная пшеничная жидкая</t>
  </si>
  <si>
    <t>Чай с молоком с сахаром</t>
  </si>
  <si>
    <t>Овощи натурал. солен. (огурцы)</t>
  </si>
  <si>
    <t>Гарнир</t>
  </si>
  <si>
    <t>Вторник</t>
  </si>
  <si>
    <t>Рыба запеченная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</si>
</sst>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1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1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Protection="1">
      <protection locked="0"/>
    </xf>
    <xf numFmtId="0" fontId="5" fillId="2" borderId="0" xfId="0" applyFont="1" applyFill="1"/>
    <xf numFmtId="0" fontId="6" fillId="0" borderId="5" xfId="0" applyFont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Border="1"/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" fillId="0" borderId="1" xfId="1" applyFont="1" applyBorder="1"/>
    <xf numFmtId="0" fontId="7" fillId="0" borderId="1" xfId="0" applyFont="1" applyBorder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9" fillId="2" borderId="11" xfId="0" applyFont="1" applyFill="1" applyBorder="1" applyAlignment="1">
      <alignment horizontal="center" vertical="center" wrapText="1"/>
    </xf>
    <xf numFmtId="2" fontId="1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1" fillId="2" borderId="3" xfId="0" applyFont="1" applyFill="1" applyBorder="1"/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4" fillId="0" borderId="1" xfId="0" applyFont="1" applyBorder="1"/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3" fillId="2" borderId="12" xfId="0" applyFont="1" applyFill="1" applyBorder="1" applyProtection="1">
      <protection locked="0"/>
    </xf>
    <xf numFmtId="0" fontId="13" fillId="0" borderId="1" xfId="0" applyFont="1" applyBorder="1" applyAlignment="1">
      <alignment horizontal="left" vertical="center"/>
    </xf>
    <xf numFmtId="0" fontId="1" fillId="2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5" fillId="2" borderId="6" xfId="0" applyFont="1" applyFill="1" applyBorder="1" applyProtection="1">
      <protection locked="0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2" fontId="1" fillId="0" borderId="12" xfId="0" applyNumberFormat="1" applyFont="1" applyBorder="1"/>
    <xf numFmtId="2" fontId="1" fillId="0" borderId="12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0" fontId="1" fillId="0" borderId="3" xfId="1" applyFont="1" applyBorder="1"/>
    <xf numFmtId="0" fontId="1" fillId="0" borderId="1" xfId="0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2" fontId="1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5" fillId="2" borderId="16" xfId="0" applyFont="1" applyFill="1" applyBorder="1" applyAlignment="1" applyProtection="1">
      <alignment vertical="center"/>
      <protection locked="0"/>
    </xf>
    <xf numFmtId="2" fontId="16" fillId="0" borderId="1" xfId="0" applyNumberFormat="1" applyFont="1" applyBorder="1"/>
    <xf numFmtId="0" fontId="17" fillId="0" borderId="0" xfId="0" applyFont="1" applyAlignment="1">
      <alignment vertical="center"/>
    </xf>
    <xf numFmtId="0" fontId="12" fillId="2" borderId="9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right" vertical="center"/>
    </xf>
    <xf numFmtId="0" fontId="1" fillId="0" borderId="1" xfId="1" applyFont="1" applyBorder="1" applyAlignment="1">
      <alignment vertical="center"/>
    </xf>
    <xf numFmtId="2" fontId="1" fillId="0" borderId="1" xfId="1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0" fillId="0" borderId="0" xfId="0"/>
    <xf numFmtId="0" fontId="5" fillId="0" borderId="4" xfId="0" applyFont="1" applyBorder="1" applyAlignment="1">
      <alignment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1" xfId="1" applyFont="1" applyBorder="1" applyAlignment="1">
      <alignment horizontal="left"/>
    </xf>
    <xf numFmtId="0" fontId="5" fillId="2" borderId="0" xfId="0" applyFont="1" applyFill="1" applyProtection="1">
      <protection locked="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7" fillId="0" borderId="4" xfId="0" applyFont="1" applyBorder="1" applyAlignment="1">
      <alignment horizontal="left" vertical="center"/>
    </xf>
    <xf numFmtId="0" fontId="0" fillId="0" borderId="0" xfId="0" applyBorder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I29"/>
  <sheetViews>
    <sheetView zoomScaleNormal="100" workbookViewId="0">
      <selection activeCell="C32" sqref="C32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4"/>
      <c r="B3" s="4"/>
      <c r="C3" s="4"/>
      <c r="D3" s="4"/>
      <c r="G3" s="105" t="s">
        <v>17</v>
      </c>
      <c r="H3" s="105"/>
      <c r="I3" s="105"/>
    </row>
    <row r="4" spans="1:9" ht="15.75" x14ac:dyDescent="0.25">
      <c r="A4" s="4"/>
      <c r="B4" s="4"/>
      <c r="C4" s="4"/>
      <c r="D4" s="4"/>
      <c r="G4" s="106" t="s">
        <v>18</v>
      </c>
      <c r="H4" s="106"/>
      <c r="I4" s="106"/>
    </row>
    <row r="5" spans="1:9" ht="15.75" x14ac:dyDescent="0.25">
      <c r="A5" s="4"/>
      <c r="B5" s="4"/>
      <c r="C5" s="4"/>
      <c r="D5" s="4"/>
      <c r="G5" s="107" t="s">
        <v>19</v>
      </c>
      <c r="H5" s="107"/>
      <c r="I5" s="107"/>
    </row>
    <row r="6" spans="1:9" ht="15.75" x14ac:dyDescent="0.25">
      <c r="A6" s="4"/>
      <c r="B6" s="4"/>
      <c r="C6" s="4"/>
      <c r="D6" s="4"/>
      <c r="E6" s="39"/>
      <c r="F6" s="39"/>
    </row>
    <row r="7" spans="1:9" ht="15.75" x14ac:dyDescent="0.25">
      <c r="A7" s="4"/>
      <c r="B7" s="4"/>
      <c r="C7" s="4"/>
      <c r="D7" s="4"/>
      <c r="E7" s="39"/>
      <c r="F7" s="39"/>
      <c r="H7" s="112" t="s">
        <v>82</v>
      </c>
      <c r="I7" s="112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04" t="s">
        <v>15</v>
      </c>
      <c r="C9" s="104"/>
      <c r="D9" s="104"/>
      <c r="E9" s="7" t="s">
        <v>16</v>
      </c>
      <c r="F9" s="7">
        <v>7</v>
      </c>
      <c r="G9" s="6" t="s">
        <v>1</v>
      </c>
      <c r="H9" s="8"/>
    </row>
    <row r="10" spans="1:9" ht="7.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20</v>
      </c>
      <c r="G11" s="25" t="s">
        <v>21</v>
      </c>
      <c r="H11" s="33" t="s">
        <v>22</v>
      </c>
      <c r="I11" s="36" t="s">
        <v>23</v>
      </c>
    </row>
    <row r="12" spans="1:9" ht="33.75" customHeight="1" x14ac:dyDescent="0.25">
      <c r="A12" s="10" t="s">
        <v>5</v>
      </c>
      <c r="B12" s="40" t="s">
        <v>6</v>
      </c>
      <c r="C12" s="79" t="s">
        <v>35</v>
      </c>
      <c r="D12" s="58" t="s">
        <v>78</v>
      </c>
      <c r="E12" s="28">
        <v>205</v>
      </c>
      <c r="F12" s="38">
        <f>E12*7.44/205</f>
        <v>7.44</v>
      </c>
      <c r="G12" s="38">
        <f>8.07*E12/205</f>
        <v>8.07</v>
      </c>
      <c r="H12" s="38">
        <f>35.28*E12/205</f>
        <v>35.28</v>
      </c>
      <c r="I12" s="38">
        <f>243.92*E12/205</f>
        <v>243.92</v>
      </c>
    </row>
    <row r="13" spans="1:9" ht="31.5" x14ac:dyDescent="0.25">
      <c r="A13" s="11"/>
      <c r="B13" s="41" t="s">
        <v>7</v>
      </c>
      <c r="C13" s="67" t="s">
        <v>36</v>
      </c>
      <c r="D13" s="70" t="s">
        <v>79</v>
      </c>
      <c r="E13" s="74">
        <v>200</v>
      </c>
      <c r="F13" s="75">
        <v>1.6</v>
      </c>
      <c r="G13" s="75">
        <v>1.1000000000000001</v>
      </c>
      <c r="H13" s="75">
        <v>8.6999999999999993</v>
      </c>
      <c r="I13" s="75">
        <v>50.9</v>
      </c>
    </row>
    <row r="14" spans="1:9" ht="15.75" x14ac:dyDescent="0.25">
      <c r="A14" s="11"/>
      <c r="B14" s="12"/>
      <c r="C14" s="60" t="s">
        <v>37</v>
      </c>
      <c r="D14" s="2" t="s">
        <v>38</v>
      </c>
      <c r="E14" s="27">
        <v>15</v>
      </c>
      <c r="F14" s="37">
        <f>E14*6.96/30</f>
        <v>3.48</v>
      </c>
      <c r="G14" s="38">
        <f>E14*8.85/30</f>
        <v>4.4249999999999998</v>
      </c>
      <c r="H14" s="38">
        <v>0</v>
      </c>
      <c r="I14" s="38">
        <f>E14*109.2/30</f>
        <v>54.6</v>
      </c>
    </row>
    <row r="15" spans="1:9" ht="15.75" x14ac:dyDescent="0.25">
      <c r="A15" s="11"/>
      <c r="B15" s="14"/>
      <c r="C15" s="60" t="s">
        <v>28</v>
      </c>
      <c r="D15" s="2" t="s">
        <v>26</v>
      </c>
      <c r="E15" s="28">
        <v>10</v>
      </c>
      <c r="F15" s="28">
        <f>E15*0.1/10</f>
        <v>0.1</v>
      </c>
      <c r="G15" s="28">
        <f>E15*7.2/10</f>
        <v>7.2</v>
      </c>
      <c r="H15" s="28">
        <f>E15*0.1/10</f>
        <v>0.1</v>
      </c>
      <c r="I15" s="37">
        <f>E15*66/10</f>
        <v>66</v>
      </c>
    </row>
    <row r="16" spans="1:9" ht="16.5" thickBot="1" x14ac:dyDescent="0.3">
      <c r="A16" s="15"/>
      <c r="B16" s="16"/>
      <c r="C16" s="60"/>
      <c r="D16" s="2" t="s">
        <v>39</v>
      </c>
      <c r="E16" s="28">
        <v>30</v>
      </c>
      <c r="F16" s="28">
        <f>E16*7.5/100</f>
        <v>2.25</v>
      </c>
      <c r="G16" s="28">
        <f>E16*11.8/100</f>
        <v>3.54</v>
      </c>
      <c r="H16" s="37">
        <f>E16*79.5/100</f>
        <v>23.85</v>
      </c>
      <c r="I16" s="37">
        <f>E16*417.1/100</f>
        <v>125.13</v>
      </c>
    </row>
    <row r="17" spans="1:9" ht="15.75" x14ac:dyDescent="0.25">
      <c r="A17" s="11"/>
      <c r="B17" s="76"/>
      <c r="C17" s="60"/>
      <c r="D17" s="2" t="s">
        <v>27</v>
      </c>
      <c r="E17" s="28">
        <v>30</v>
      </c>
      <c r="F17" s="37">
        <f>E17*6.9/100</f>
        <v>2.0699999999999998</v>
      </c>
      <c r="G17" s="38">
        <f>1*E17/100</f>
        <v>0.3</v>
      </c>
      <c r="H17" s="38">
        <f>E17*48.3/100</f>
        <v>14.49</v>
      </c>
      <c r="I17" s="38">
        <f>E17*235/100</f>
        <v>70.5</v>
      </c>
    </row>
    <row r="18" spans="1:9" ht="15.75" x14ac:dyDescent="0.25">
      <c r="A18" s="11"/>
      <c r="B18" s="14"/>
      <c r="C18" s="60"/>
      <c r="D18" s="2"/>
      <c r="E18" s="28"/>
      <c r="F18" s="37"/>
      <c r="G18" s="38"/>
      <c r="H18" s="38"/>
      <c r="I18" s="38"/>
    </row>
    <row r="19" spans="1:9" ht="32.25" customHeight="1" x14ac:dyDescent="0.25">
      <c r="A19" s="18" t="s">
        <v>8</v>
      </c>
      <c r="B19" s="44" t="s">
        <v>9</v>
      </c>
      <c r="C19" s="79" t="s">
        <v>40</v>
      </c>
      <c r="D19" s="58" t="s">
        <v>80</v>
      </c>
      <c r="E19" s="45">
        <v>100</v>
      </c>
      <c r="F19" s="78">
        <f>0.8*E19/100</f>
        <v>0.8</v>
      </c>
      <c r="G19" s="78">
        <f>0.1*E19/100</f>
        <v>0.1</v>
      </c>
      <c r="H19" s="78">
        <f>2.3*E19/100</f>
        <v>2.2999999999999998</v>
      </c>
      <c r="I19" s="59">
        <f>13*E19/100</f>
        <v>13</v>
      </c>
    </row>
    <row r="20" spans="1:9" ht="31.5" x14ac:dyDescent="0.25">
      <c r="A20" s="11"/>
      <c r="B20" s="30" t="s">
        <v>10</v>
      </c>
      <c r="C20" s="67" t="s">
        <v>41</v>
      </c>
      <c r="D20" s="77" t="s">
        <v>42</v>
      </c>
      <c r="E20" s="27">
        <v>250</v>
      </c>
      <c r="F20" s="37">
        <f>2.83*E20/250</f>
        <v>2.83</v>
      </c>
      <c r="G20" s="37">
        <f>2.86*E20/250</f>
        <v>2.86</v>
      </c>
      <c r="H20" s="37">
        <f>21.76*E20/250</f>
        <v>21.76</v>
      </c>
      <c r="I20" s="37">
        <f>124.09*E20/250</f>
        <v>124.09</v>
      </c>
    </row>
    <row r="21" spans="1:9" ht="15.75" x14ac:dyDescent="0.25">
      <c r="A21" s="11"/>
      <c r="B21" s="1" t="s">
        <v>81</v>
      </c>
      <c r="C21" s="60" t="s">
        <v>43</v>
      </c>
      <c r="D21" s="2" t="s">
        <v>44</v>
      </c>
      <c r="E21" s="28">
        <v>170</v>
      </c>
      <c r="F21" s="38">
        <f>E21*4.26/200</f>
        <v>3.6209999999999996</v>
      </c>
      <c r="G21" s="38">
        <f>8.08*E21/200</f>
        <v>6.8679999999999994</v>
      </c>
      <c r="H21" s="38">
        <f>31.06*E21/200</f>
        <v>26.401</v>
      </c>
      <c r="I21" s="38">
        <f>213.94*E21/200</f>
        <v>181.84900000000002</v>
      </c>
    </row>
    <row r="22" spans="1:9" ht="15.75" x14ac:dyDescent="0.25">
      <c r="A22" s="11"/>
      <c r="B22" s="31" t="s">
        <v>11</v>
      </c>
      <c r="C22" s="80" t="s">
        <v>45</v>
      </c>
      <c r="D22" s="77" t="s">
        <v>64</v>
      </c>
      <c r="E22" s="27">
        <v>120</v>
      </c>
      <c r="F22" s="37">
        <f>14.92*E22/95</f>
        <v>18.846315789473685</v>
      </c>
      <c r="G22" s="37">
        <f>9.91*E22/95</f>
        <v>12.517894736842106</v>
      </c>
      <c r="H22" s="37">
        <f>E22*5.5/95</f>
        <v>6.9473684210526319</v>
      </c>
      <c r="I22" s="37">
        <f>170.87*E22/95</f>
        <v>215.83578947368423</v>
      </c>
    </row>
    <row r="23" spans="1:9" ht="15.75" x14ac:dyDescent="0.25">
      <c r="A23" s="11"/>
      <c r="B23" s="32"/>
      <c r="C23" s="60" t="s">
        <v>46</v>
      </c>
      <c r="D23" s="2" t="s">
        <v>47</v>
      </c>
      <c r="E23" s="28">
        <v>200</v>
      </c>
      <c r="F23" s="28">
        <v>0.1</v>
      </c>
      <c r="G23" s="28">
        <v>0.1</v>
      </c>
      <c r="H23" s="28">
        <v>7.9</v>
      </c>
      <c r="I23" s="28">
        <v>32.700000000000003</v>
      </c>
    </row>
    <row r="24" spans="1:9" ht="15.75" x14ac:dyDescent="0.25">
      <c r="A24" s="11"/>
      <c r="B24" s="12"/>
      <c r="C24" s="50"/>
      <c r="D24" s="2" t="s">
        <v>27</v>
      </c>
      <c r="E24" s="28">
        <v>50</v>
      </c>
      <c r="F24" s="37">
        <f>E24*6.9/100</f>
        <v>3.45</v>
      </c>
      <c r="G24" s="38">
        <f>1*E24/100</f>
        <v>0.5</v>
      </c>
      <c r="H24" s="38">
        <f>E24*48.3/100</f>
        <v>24.15</v>
      </c>
      <c r="I24" s="38">
        <f>E24*235/100</f>
        <v>117.5</v>
      </c>
    </row>
    <row r="25" spans="1:9" ht="15.75" x14ac:dyDescent="0.25">
      <c r="A25" s="11"/>
      <c r="B25" s="19"/>
      <c r="C25" s="50"/>
      <c r="D25" s="2" t="s">
        <v>29</v>
      </c>
      <c r="E25" s="28">
        <v>60</v>
      </c>
      <c r="F25" s="37">
        <f>E25*4.8/100</f>
        <v>2.88</v>
      </c>
      <c r="G25" s="38">
        <f>E25*1/100</f>
        <v>0.6</v>
      </c>
      <c r="H25" s="38">
        <f>E25*21.2/50</f>
        <v>25.44</v>
      </c>
      <c r="I25" s="38">
        <f>E25*100/50</f>
        <v>120</v>
      </c>
    </row>
    <row r="26" spans="1:9" ht="16.5" thickBot="1" x14ac:dyDescent="0.3">
      <c r="A26" s="11"/>
      <c r="B26" s="19"/>
      <c r="C26" s="50"/>
      <c r="D26" s="2"/>
      <c r="E26" s="28"/>
      <c r="F26" s="81"/>
      <c r="G26" s="82"/>
      <c r="H26" s="83"/>
      <c r="I26" s="38"/>
    </row>
    <row r="27" spans="1:9" ht="15.75" x14ac:dyDescent="0.25">
      <c r="A27" s="10" t="s">
        <v>33</v>
      </c>
      <c r="B27" s="14"/>
      <c r="C27" s="86" t="s">
        <v>52</v>
      </c>
      <c r="D27" s="84" t="s">
        <v>48</v>
      </c>
      <c r="E27" s="42">
        <v>200</v>
      </c>
      <c r="F27" s="42">
        <v>5.59</v>
      </c>
      <c r="G27" s="42">
        <v>6.38</v>
      </c>
      <c r="H27" s="42">
        <v>9.3800000000000008</v>
      </c>
      <c r="I27" s="42">
        <v>117.31</v>
      </c>
    </row>
    <row r="28" spans="1:9" ht="15.75" x14ac:dyDescent="0.25">
      <c r="A28" s="22"/>
      <c r="B28" s="19"/>
      <c r="C28" s="49" t="s">
        <v>49</v>
      </c>
      <c r="D28" s="2" t="s">
        <v>50</v>
      </c>
      <c r="E28" s="28">
        <v>50</v>
      </c>
      <c r="F28" s="37">
        <f>E28*4.49/60</f>
        <v>3.7416666666666667</v>
      </c>
      <c r="G28" s="37">
        <f>E28*11.36/60</f>
        <v>9.4666666666666668</v>
      </c>
      <c r="H28" s="37">
        <f>E28*37.52/60</f>
        <v>31.266666666666669</v>
      </c>
      <c r="I28" s="37">
        <f>E28*144.24/60</f>
        <v>120.2</v>
      </c>
    </row>
    <row r="29" spans="1:9" ht="15.75" x14ac:dyDescent="0.25">
      <c r="C29" s="85"/>
      <c r="D29" s="2" t="s">
        <v>51</v>
      </c>
      <c r="E29" s="28">
        <v>32</v>
      </c>
      <c r="F29" s="37">
        <f>0.05*E29/50</f>
        <v>3.2000000000000001E-2</v>
      </c>
      <c r="G29" s="37">
        <f>0.05*E29/50</f>
        <v>3.2000000000000001E-2</v>
      </c>
      <c r="H29" s="37">
        <f>36.2*E29/50</f>
        <v>23.168000000000003</v>
      </c>
      <c r="I29" s="37">
        <f>177.2*E29/50</f>
        <v>113.40799999999999</v>
      </c>
    </row>
  </sheetData>
  <mergeCells count="5">
    <mergeCell ref="B9:D9"/>
    <mergeCell ref="G3:I3"/>
    <mergeCell ref="G4:I4"/>
    <mergeCell ref="G5:I5"/>
    <mergeCell ref="H7:I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workbookViewId="0">
      <selection activeCell="K12" sqref="K12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11.28515625" bestFit="1" customWidth="1"/>
  </cols>
  <sheetData>
    <row r="3" spans="1:9" ht="18.75" x14ac:dyDescent="0.3">
      <c r="A3" s="4"/>
      <c r="B3" s="4"/>
      <c r="C3" s="4"/>
      <c r="D3" s="4"/>
      <c r="G3" s="105" t="s">
        <v>17</v>
      </c>
      <c r="H3" s="105"/>
      <c r="I3" s="105"/>
    </row>
    <row r="4" spans="1:9" ht="15.75" x14ac:dyDescent="0.25">
      <c r="A4" s="4"/>
      <c r="B4" s="4"/>
      <c r="C4" s="4"/>
      <c r="D4" s="4"/>
      <c r="G4" s="106" t="s">
        <v>18</v>
      </c>
      <c r="H4" s="106"/>
      <c r="I4" s="106"/>
    </row>
    <row r="5" spans="1:9" ht="19.5" customHeight="1" x14ac:dyDescent="0.25">
      <c r="A5" s="4"/>
      <c r="B5" s="4"/>
      <c r="C5" s="4"/>
      <c r="D5" s="4"/>
      <c r="G5" s="107" t="s">
        <v>19</v>
      </c>
      <c r="H5" s="107"/>
      <c r="I5" s="107"/>
    </row>
    <row r="6" spans="1:9" ht="15.75" x14ac:dyDescent="0.25">
      <c r="A6" s="4"/>
      <c r="B6" s="4"/>
      <c r="C6" s="4"/>
      <c r="D6" s="4"/>
      <c r="E6" s="39"/>
      <c r="F6" s="39"/>
    </row>
    <row r="7" spans="1:9" ht="28.5" customHeight="1" x14ac:dyDescent="0.25">
      <c r="A7" s="4"/>
      <c r="B7" s="4"/>
      <c r="C7" s="4"/>
      <c r="D7" s="4"/>
      <c r="E7" s="39"/>
      <c r="F7" s="39"/>
      <c r="H7" s="113" t="s">
        <v>82</v>
      </c>
      <c r="I7" s="113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04" t="s">
        <v>15</v>
      </c>
      <c r="C9" s="104"/>
      <c r="D9" s="104"/>
      <c r="E9" s="108" t="s">
        <v>25</v>
      </c>
      <c r="F9" s="108"/>
      <c r="G9" s="108"/>
      <c r="H9" s="46">
        <v>7</v>
      </c>
      <c r="I9" s="6" t="s">
        <v>1</v>
      </c>
    </row>
    <row r="10" spans="1:9" ht="20.2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28.5" customHeight="1" x14ac:dyDescent="0.25">
      <c r="A11" s="23" t="s">
        <v>2</v>
      </c>
      <c r="B11" s="24" t="s">
        <v>3</v>
      </c>
      <c r="C11" s="24" t="s">
        <v>13</v>
      </c>
      <c r="D11" s="24" t="s">
        <v>4</v>
      </c>
      <c r="E11" s="47" t="s">
        <v>14</v>
      </c>
      <c r="F11" s="25" t="s">
        <v>20</v>
      </c>
      <c r="G11" s="25" t="s">
        <v>21</v>
      </c>
      <c r="H11" s="33" t="s">
        <v>22</v>
      </c>
      <c r="I11" s="36" t="s">
        <v>23</v>
      </c>
    </row>
    <row r="12" spans="1:9" ht="15.75" x14ac:dyDescent="0.25">
      <c r="A12" s="19"/>
      <c r="B12" s="14"/>
      <c r="C12" s="100"/>
      <c r="D12" s="2"/>
      <c r="E12" s="28"/>
      <c r="F12" s="37"/>
      <c r="G12" s="38"/>
      <c r="H12" s="38"/>
      <c r="I12" s="38"/>
    </row>
    <row r="13" spans="1:9" ht="32.25" customHeight="1" x14ac:dyDescent="0.25">
      <c r="A13" s="102" t="s">
        <v>8</v>
      </c>
      <c r="B13" s="101" t="s">
        <v>9</v>
      </c>
      <c r="C13" s="45" t="s">
        <v>40</v>
      </c>
      <c r="D13" s="58" t="s">
        <v>80</v>
      </c>
      <c r="E13" s="45">
        <v>120</v>
      </c>
      <c r="F13" s="78">
        <f>0.8*E13/100</f>
        <v>0.96</v>
      </c>
      <c r="G13" s="78">
        <f>0.1*E13/100</f>
        <v>0.12</v>
      </c>
      <c r="H13" s="78">
        <f>2.3*E13/100</f>
        <v>2.76</v>
      </c>
      <c r="I13" s="78">
        <f>13*E13/100</f>
        <v>15.6</v>
      </c>
    </row>
    <row r="14" spans="1:9" ht="31.5" x14ac:dyDescent="0.25">
      <c r="A14" s="11"/>
      <c r="B14" s="99" t="s">
        <v>10</v>
      </c>
      <c r="C14" s="114" t="s">
        <v>41</v>
      </c>
      <c r="D14" s="77" t="s">
        <v>42</v>
      </c>
      <c r="E14" s="27">
        <v>300</v>
      </c>
      <c r="F14" s="37">
        <f>2.83*E14/250</f>
        <v>3.3959999999999999</v>
      </c>
      <c r="G14" s="37">
        <f>2.86*E14/250</f>
        <v>3.4319999999999999</v>
      </c>
      <c r="H14" s="37">
        <f>21.76*E14/250</f>
        <v>26.112000000000002</v>
      </c>
      <c r="I14" s="37">
        <f>124.09*E14/250</f>
        <v>148.90799999999999</v>
      </c>
    </row>
    <row r="15" spans="1:9" ht="15.75" x14ac:dyDescent="0.25">
      <c r="A15" s="11"/>
      <c r="B15" s="1" t="s">
        <v>81</v>
      </c>
      <c r="C15" s="43" t="s">
        <v>43</v>
      </c>
      <c r="D15" s="2" t="s">
        <v>44</v>
      </c>
      <c r="E15" s="28">
        <v>230</v>
      </c>
      <c r="F15" s="38">
        <f>E15*4.26/200</f>
        <v>4.899</v>
      </c>
      <c r="G15" s="38">
        <f>8.08*E15/200</f>
        <v>9.2919999999999998</v>
      </c>
      <c r="H15" s="38">
        <f>31.06*E15/200</f>
        <v>35.718999999999994</v>
      </c>
      <c r="I15" s="38">
        <f>213.94*E15/200</f>
        <v>246.03099999999998</v>
      </c>
    </row>
    <row r="16" spans="1:9" s="98" customFormat="1" ht="15.75" x14ac:dyDescent="0.25">
      <c r="A16" s="11"/>
      <c r="B16" s="31" t="s">
        <v>11</v>
      </c>
      <c r="C16" s="43" t="s">
        <v>45</v>
      </c>
      <c r="D16" s="2" t="s">
        <v>83</v>
      </c>
      <c r="E16" s="27">
        <v>120</v>
      </c>
      <c r="F16" s="37">
        <f>14.92*E16/95</f>
        <v>18.846315789473685</v>
      </c>
      <c r="G16" s="37">
        <f>9.91*E16/95</f>
        <v>12.517894736842106</v>
      </c>
      <c r="H16" s="37">
        <f>E16*5.5/95</f>
        <v>6.9473684210526319</v>
      </c>
      <c r="I16" s="37">
        <f>170.87*E16/95</f>
        <v>215.83578947368423</v>
      </c>
    </row>
    <row r="17" spans="1:9" ht="18.75" customHeight="1" x14ac:dyDescent="0.25">
      <c r="A17" s="11"/>
      <c r="B17" s="31"/>
      <c r="C17" s="43" t="s">
        <v>46</v>
      </c>
      <c r="D17" s="2" t="s">
        <v>47</v>
      </c>
      <c r="E17" s="28">
        <v>200</v>
      </c>
      <c r="F17" s="28">
        <v>0.1</v>
      </c>
      <c r="G17" s="28">
        <v>0.1</v>
      </c>
      <c r="H17" s="28">
        <v>7.9</v>
      </c>
      <c r="I17" s="28">
        <v>32.700000000000003</v>
      </c>
    </row>
    <row r="18" spans="1:9" ht="15.75" x14ac:dyDescent="0.25">
      <c r="A18" s="11"/>
      <c r="B18" s="32"/>
      <c r="C18" s="50"/>
      <c r="D18" s="2" t="s">
        <v>27</v>
      </c>
      <c r="E18" s="28">
        <v>60</v>
      </c>
      <c r="F18" s="37">
        <f>E18*6.9/100</f>
        <v>4.1399999999999997</v>
      </c>
      <c r="G18" s="38">
        <f>1*E18/100</f>
        <v>0.6</v>
      </c>
      <c r="H18" s="38">
        <f>E18*48.3/100</f>
        <v>28.98</v>
      </c>
      <c r="I18" s="38">
        <f>E18*235/100</f>
        <v>141</v>
      </c>
    </row>
    <row r="19" spans="1:9" ht="15.75" x14ac:dyDescent="0.25">
      <c r="A19" s="11"/>
      <c r="B19" s="12"/>
      <c r="C19" s="50"/>
      <c r="D19" s="2" t="s">
        <v>29</v>
      </c>
      <c r="E19" s="28">
        <v>70</v>
      </c>
      <c r="F19" s="37">
        <f>E19*4.8/100</f>
        <v>3.36</v>
      </c>
      <c r="G19" s="38">
        <f>E19*1/100</f>
        <v>0.7</v>
      </c>
      <c r="H19" s="38">
        <f>E19*21.2/50</f>
        <v>29.68</v>
      </c>
      <c r="I19" s="38">
        <f>E19*100/50</f>
        <v>140</v>
      </c>
    </row>
    <row r="20" spans="1:9" ht="15.75" x14ac:dyDescent="0.25">
      <c r="A20" s="11"/>
      <c r="B20" s="19"/>
      <c r="C20" s="13"/>
      <c r="D20" s="19"/>
      <c r="E20" s="20"/>
      <c r="F20" s="21"/>
      <c r="G20" s="21"/>
      <c r="H20" s="35"/>
      <c r="I20" s="1"/>
    </row>
    <row r="21" spans="1:9" ht="15.75" x14ac:dyDescent="0.25">
      <c r="A21" s="18" t="s">
        <v>33</v>
      </c>
      <c r="B21" s="14"/>
      <c r="C21" s="103" t="s">
        <v>52</v>
      </c>
      <c r="D21" s="84" t="s">
        <v>48</v>
      </c>
      <c r="E21" s="42">
        <v>200</v>
      </c>
      <c r="F21" s="42">
        <v>5.59</v>
      </c>
      <c r="G21" s="42">
        <v>6.38</v>
      </c>
      <c r="H21" s="42">
        <v>9.3800000000000008</v>
      </c>
      <c r="I21" s="42">
        <v>117.31</v>
      </c>
    </row>
    <row r="22" spans="1:9" ht="15.75" x14ac:dyDescent="0.25">
      <c r="A22" s="22"/>
      <c r="B22" s="19"/>
      <c r="C22" s="28" t="s">
        <v>49</v>
      </c>
      <c r="D22" s="2" t="s">
        <v>50</v>
      </c>
      <c r="E22" s="28">
        <v>50</v>
      </c>
      <c r="F22" s="37">
        <f>E22*4.49/60</f>
        <v>3.7416666666666667</v>
      </c>
      <c r="G22" s="37">
        <f>E22*11.36/60</f>
        <v>9.4666666666666668</v>
      </c>
      <c r="H22" s="37">
        <f>E22*37.52/60</f>
        <v>31.266666666666669</v>
      </c>
      <c r="I22" s="37">
        <f>E22*144.24/60</f>
        <v>120.2</v>
      </c>
    </row>
    <row r="23" spans="1:9" ht="15.75" x14ac:dyDescent="0.25">
      <c r="C23" s="85"/>
      <c r="D23" s="2" t="s">
        <v>51</v>
      </c>
      <c r="E23" s="28">
        <v>48</v>
      </c>
      <c r="F23" s="37">
        <f>0.05*E23/50</f>
        <v>4.8000000000000008E-2</v>
      </c>
      <c r="G23" s="37">
        <f>0.05*E23/50</f>
        <v>4.8000000000000008E-2</v>
      </c>
      <c r="H23" s="37">
        <f>36.2*E23/50</f>
        <v>34.752000000000002</v>
      </c>
      <c r="I23" s="37">
        <f>177.2*E23/50</f>
        <v>170.11199999999997</v>
      </c>
    </row>
  </sheetData>
  <mergeCells count="6">
    <mergeCell ref="B9:D9"/>
    <mergeCell ref="E9:G9"/>
    <mergeCell ref="G3:I3"/>
    <mergeCell ref="G4:I4"/>
    <mergeCell ref="G5:I5"/>
    <mergeCell ref="H7:I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3" workbookViewId="0">
      <selection activeCell="L12" sqref="L12"/>
    </sheetView>
  </sheetViews>
  <sheetFormatPr defaultRowHeight="15" x14ac:dyDescent="0.25"/>
  <cols>
    <col min="2" max="2" width="10.42578125" customWidth="1"/>
    <col min="3" max="3" width="7" customWidth="1"/>
    <col min="4" max="4" width="21.7109375" customWidth="1"/>
    <col min="5" max="5" width="7" customWidth="1"/>
    <col min="6" max="6" width="7.85546875" customWidth="1"/>
    <col min="7" max="7" width="7.42578125" customWidth="1"/>
    <col min="8" max="8" width="8.28515625" customWidth="1"/>
    <col min="9" max="9" width="8.140625" customWidth="1"/>
  </cols>
  <sheetData>
    <row r="1" spans="1:10" x14ac:dyDescent="0.25">
      <c r="A1" s="109" t="s">
        <v>15</v>
      </c>
      <c r="B1" s="109"/>
      <c r="C1" s="109"/>
      <c r="D1" s="109"/>
      <c r="E1" s="109"/>
      <c r="F1" s="109"/>
      <c r="G1" s="109"/>
      <c r="H1" s="109"/>
      <c r="I1" s="109"/>
    </row>
    <row r="3" spans="1:10" ht="18.75" x14ac:dyDescent="0.3">
      <c r="A3" s="4"/>
      <c r="B3" s="4"/>
      <c r="C3" s="4"/>
      <c r="D3" s="4"/>
      <c r="G3" s="105" t="s">
        <v>17</v>
      </c>
      <c r="H3" s="105"/>
      <c r="I3" s="105"/>
    </row>
    <row r="4" spans="1:10" ht="15.75" x14ac:dyDescent="0.25">
      <c r="A4" s="4"/>
      <c r="B4" s="4"/>
      <c r="C4" s="4"/>
      <c r="D4" s="4"/>
      <c r="G4" s="106" t="s">
        <v>18</v>
      </c>
      <c r="H4" s="106"/>
      <c r="I4" s="106"/>
    </row>
    <row r="5" spans="1:10" ht="15.75" x14ac:dyDescent="0.25">
      <c r="A5" s="4"/>
      <c r="B5" s="4"/>
      <c r="C5" s="4"/>
      <c r="D5" s="4"/>
      <c r="G5" s="107" t="s">
        <v>19</v>
      </c>
      <c r="H5" s="107"/>
      <c r="I5" s="107"/>
    </row>
    <row r="6" spans="1:10" ht="15.75" x14ac:dyDescent="0.25">
      <c r="A6" s="4"/>
      <c r="B6" s="4"/>
      <c r="C6" s="4"/>
      <c r="D6" s="4"/>
      <c r="E6" s="39"/>
      <c r="F6" s="39"/>
    </row>
    <row r="7" spans="1:10" ht="15.75" x14ac:dyDescent="0.25">
      <c r="A7" s="111" t="s">
        <v>34</v>
      </c>
      <c r="B7" s="110"/>
      <c r="C7" s="110"/>
      <c r="D7" s="110"/>
      <c r="E7" s="39"/>
      <c r="F7" s="39"/>
    </row>
    <row r="8" spans="1:10" ht="15.75" x14ac:dyDescent="0.25">
      <c r="A8" s="4"/>
      <c r="B8" s="4"/>
      <c r="C8" s="4"/>
      <c r="D8" s="4"/>
      <c r="E8" s="4"/>
      <c r="F8" s="4"/>
      <c r="G8" s="4"/>
      <c r="H8" s="4"/>
    </row>
    <row r="9" spans="1:10" ht="15.75" x14ac:dyDescent="0.25">
      <c r="A9" s="111"/>
      <c r="B9" s="110"/>
      <c r="C9" s="110"/>
      <c r="D9" s="110"/>
      <c r="E9" s="108" t="s">
        <v>30</v>
      </c>
      <c r="F9" s="110"/>
      <c r="G9" s="110"/>
      <c r="H9" s="46">
        <v>7</v>
      </c>
      <c r="I9" t="s">
        <v>1</v>
      </c>
    </row>
    <row r="10" spans="1:10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10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20</v>
      </c>
      <c r="G11" s="25" t="s">
        <v>21</v>
      </c>
      <c r="H11" s="33" t="s">
        <v>22</v>
      </c>
      <c r="I11" s="36" t="s">
        <v>23</v>
      </c>
      <c r="J11" s="115"/>
    </row>
    <row r="12" spans="1:10" ht="31.5" x14ac:dyDescent="0.25">
      <c r="A12" s="10" t="s">
        <v>5</v>
      </c>
      <c r="B12" s="52" t="s">
        <v>6</v>
      </c>
      <c r="C12" s="69" t="s">
        <v>54</v>
      </c>
      <c r="D12" s="58" t="s">
        <v>53</v>
      </c>
      <c r="E12" s="45">
        <v>130</v>
      </c>
      <c r="F12" s="59">
        <f>E12*42.68/1000</f>
        <v>5.5484</v>
      </c>
      <c r="G12" s="59">
        <f>E12*57.5/1000</f>
        <v>7.4749999999999996</v>
      </c>
      <c r="H12" s="59">
        <f>E12*191.17/1000</f>
        <v>24.8521</v>
      </c>
      <c r="I12" s="59">
        <f>E12*1467.87/1000</f>
        <v>190.82309999999998</v>
      </c>
      <c r="J12" s="116"/>
    </row>
    <row r="13" spans="1:10" ht="30" x14ac:dyDescent="0.25">
      <c r="A13" s="11"/>
      <c r="B13" s="53" t="s">
        <v>7</v>
      </c>
      <c r="C13" s="61" t="s">
        <v>56</v>
      </c>
      <c r="D13" s="51" t="s">
        <v>55</v>
      </c>
      <c r="E13" s="42">
        <v>150</v>
      </c>
      <c r="F13" s="48">
        <f>E13*1.45/200</f>
        <v>1.0874999999999999</v>
      </c>
      <c r="G13" s="48">
        <f>E13*1.25/200</f>
        <v>0.9375</v>
      </c>
      <c r="H13" s="48">
        <f>E13*17.44/200</f>
        <v>13.08</v>
      </c>
      <c r="I13" s="48">
        <f>E13*87.12/200</f>
        <v>65.34</v>
      </c>
      <c r="J13" s="117"/>
    </row>
    <row r="14" spans="1:10" ht="15.75" x14ac:dyDescent="0.25">
      <c r="A14" s="11"/>
      <c r="B14" s="54" t="s">
        <v>12</v>
      </c>
      <c r="C14" s="60" t="s">
        <v>31</v>
      </c>
      <c r="D14" s="2" t="s">
        <v>24</v>
      </c>
      <c r="E14" s="28">
        <v>15</v>
      </c>
      <c r="F14" s="37">
        <f>E14*7.6/100</f>
        <v>1.1399999999999999</v>
      </c>
      <c r="G14" s="38">
        <f>E14*0.8/100</f>
        <v>0.12</v>
      </c>
      <c r="H14" s="38">
        <f>E14*49.2/100</f>
        <v>7.38</v>
      </c>
      <c r="I14" s="38">
        <f>E14*235/100</f>
        <v>35.25</v>
      </c>
      <c r="J14" s="118"/>
    </row>
    <row r="15" spans="1:10" ht="15.75" x14ac:dyDescent="0.25">
      <c r="A15" s="11"/>
      <c r="B15" s="55"/>
      <c r="C15" s="60" t="s">
        <v>58</v>
      </c>
      <c r="D15" s="2" t="s">
        <v>57</v>
      </c>
      <c r="E15" s="27">
        <v>6</v>
      </c>
      <c r="F15" s="37">
        <f>E15*25.6/100</f>
        <v>1.5360000000000003</v>
      </c>
      <c r="G15" s="38">
        <f>E15*26.1/100</f>
        <v>1.5660000000000003</v>
      </c>
      <c r="H15" s="38">
        <v>0</v>
      </c>
      <c r="I15" s="38">
        <f>E15*343/100</f>
        <v>20.58</v>
      </c>
      <c r="J15" s="118"/>
    </row>
    <row r="16" spans="1:10" ht="16.5" thickBot="1" x14ac:dyDescent="0.3">
      <c r="A16" s="15"/>
      <c r="B16" s="66"/>
      <c r="C16" s="60"/>
      <c r="D16" s="2"/>
      <c r="E16" s="28"/>
      <c r="F16" s="28"/>
      <c r="G16" s="27"/>
      <c r="H16" s="27"/>
      <c r="I16" s="27"/>
      <c r="J16" s="115"/>
    </row>
    <row r="17" spans="1:10" ht="15.75" x14ac:dyDescent="0.25">
      <c r="A17" s="11"/>
      <c r="B17" s="55"/>
      <c r="C17" s="60"/>
      <c r="D17" s="2"/>
      <c r="E17" s="28"/>
      <c r="F17" s="38"/>
      <c r="G17" s="38"/>
      <c r="H17" s="38"/>
      <c r="I17" s="38"/>
      <c r="J17" s="115"/>
    </row>
    <row r="18" spans="1:10" ht="18.75" x14ac:dyDescent="0.3">
      <c r="A18" s="65" t="s">
        <v>32</v>
      </c>
      <c r="B18" s="89"/>
      <c r="C18" s="91" t="s">
        <v>60</v>
      </c>
      <c r="D18" s="51" t="s">
        <v>59</v>
      </c>
      <c r="E18" s="28">
        <v>100</v>
      </c>
      <c r="F18" s="38">
        <f>E18*0.5/100</f>
        <v>0.5</v>
      </c>
      <c r="G18" s="38">
        <f>E18*0.1/100</f>
        <v>0.1</v>
      </c>
      <c r="H18" s="38">
        <f>E18*10.1/100</f>
        <v>10.1</v>
      </c>
      <c r="I18" s="38">
        <f>E18*46/100</f>
        <v>46</v>
      </c>
      <c r="J18" s="119"/>
    </row>
    <row r="19" spans="1:10" ht="16.5" thickBot="1" x14ac:dyDescent="0.3">
      <c r="A19" s="15"/>
      <c r="B19" s="16"/>
      <c r="C19" s="92"/>
      <c r="D19" s="29"/>
      <c r="E19" s="3"/>
      <c r="F19" s="17"/>
      <c r="G19" s="17"/>
      <c r="H19" s="34"/>
      <c r="I19" s="56"/>
      <c r="J19" s="115"/>
    </row>
    <row r="20" spans="1:10" ht="31.5" x14ac:dyDescent="0.3">
      <c r="A20" s="18" t="s">
        <v>8</v>
      </c>
      <c r="B20" s="44" t="s">
        <v>9</v>
      </c>
      <c r="C20" s="67" t="s">
        <v>62</v>
      </c>
      <c r="D20" s="58" t="s">
        <v>61</v>
      </c>
      <c r="E20" s="28">
        <v>40</v>
      </c>
      <c r="F20" s="90">
        <f>E20*0.8/100</f>
        <v>0.32</v>
      </c>
      <c r="G20" s="90">
        <f>E20*0.1/100</f>
        <v>0.04</v>
      </c>
      <c r="H20" s="90">
        <f>E20*1.7/100</f>
        <v>0.68</v>
      </c>
      <c r="I20" s="90">
        <f>E20*13/100</f>
        <v>5.2</v>
      </c>
      <c r="J20" s="119"/>
    </row>
    <row r="21" spans="1:10" ht="47.25" x14ac:dyDescent="0.25">
      <c r="A21" s="11"/>
      <c r="B21" s="30" t="s">
        <v>10</v>
      </c>
      <c r="C21" s="69" t="s">
        <v>65</v>
      </c>
      <c r="D21" s="58" t="s">
        <v>63</v>
      </c>
      <c r="E21" s="78">
        <v>150</v>
      </c>
      <c r="F21" s="87">
        <f>E21*11.09/1000</f>
        <v>1.6635</v>
      </c>
      <c r="G21" s="87">
        <f>E21*11.79/1000</f>
        <v>1.7684999999999997</v>
      </c>
      <c r="H21" s="87">
        <f>E21*60.56/1000</f>
        <v>9.0839999999999996</v>
      </c>
      <c r="I21" s="87">
        <f>E21*454.19/1000</f>
        <v>68.128500000000003</v>
      </c>
      <c r="J21" s="116"/>
    </row>
    <row r="22" spans="1:10" ht="15.75" x14ac:dyDescent="0.25">
      <c r="A22" s="11"/>
      <c r="B22" t="s">
        <v>81</v>
      </c>
      <c r="C22" s="61" t="s">
        <v>66</v>
      </c>
      <c r="D22" s="70" t="s">
        <v>44</v>
      </c>
      <c r="E22" s="45">
        <v>120</v>
      </c>
      <c r="F22" s="59">
        <f>E22*2.05/100</f>
        <v>2.4599999999999995</v>
      </c>
      <c r="G22" s="59">
        <f>E22*4.24/100</f>
        <v>5.0880000000000001</v>
      </c>
      <c r="H22" s="59">
        <f>E22*9.39/100</f>
        <v>11.268000000000002</v>
      </c>
      <c r="I22" s="59">
        <f>E22*96.86/100</f>
        <v>116.23200000000001</v>
      </c>
      <c r="J22" s="116"/>
    </row>
    <row r="23" spans="1:10" ht="31.5" x14ac:dyDescent="0.25">
      <c r="A23" s="11"/>
      <c r="B23" s="31" t="s">
        <v>11</v>
      </c>
      <c r="C23" s="69" t="s">
        <v>67</v>
      </c>
      <c r="D23" s="68" t="s">
        <v>64</v>
      </c>
      <c r="E23" s="72">
        <v>60</v>
      </c>
      <c r="F23" s="73">
        <f>E23*15.94/100</f>
        <v>9.5640000000000001</v>
      </c>
      <c r="G23" s="73">
        <f>E23*11.07/100</f>
        <v>6.6420000000000003</v>
      </c>
      <c r="H23" s="73">
        <f>E23*9.92/100</f>
        <v>5.9520000000000008</v>
      </c>
      <c r="I23" s="73">
        <f>E23*203.07/100</f>
        <v>121.84199999999998</v>
      </c>
      <c r="J23" s="116"/>
    </row>
    <row r="24" spans="1:10" ht="31.5" x14ac:dyDescent="0.25">
      <c r="A24" s="11"/>
      <c r="B24" s="32"/>
      <c r="C24" s="67" t="s">
        <v>70</v>
      </c>
      <c r="D24" s="58" t="s">
        <v>68</v>
      </c>
      <c r="E24" s="45">
        <v>180</v>
      </c>
      <c r="F24" s="87">
        <f>E24*0.48/200</f>
        <v>0.43199999999999994</v>
      </c>
      <c r="G24" s="87">
        <f>E24*0.28/200</f>
        <v>0.252</v>
      </c>
      <c r="H24" s="87">
        <f>E24*14.07/200</f>
        <v>12.663</v>
      </c>
      <c r="I24" s="87">
        <f>E24*60.68/200</f>
        <v>54.611999999999995</v>
      </c>
      <c r="J24" s="116"/>
    </row>
    <row r="25" spans="1:10" ht="15.75" x14ac:dyDescent="0.25">
      <c r="A25" s="11"/>
      <c r="B25" s="12"/>
      <c r="C25" s="61" t="s">
        <v>71</v>
      </c>
      <c r="D25" s="88" t="s">
        <v>24</v>
      </c>
      <c r="E25" s="45">
        <v>20</v>
      </c>
      <c r="F25" s="87">
        <f>E25*7.6/100</f>
        <v>1.52</v>
      </c>
      <c r="G25" s="59">
        <f>E25*0.8/100</f>
        <v>0.16</v>
      </c>
      <c r="H25" s="59">
        <f>E25*49.2/100</f>
        <v>9.84</v>
      </c>
      <c r="I25" s="59">
        <f>E25*235/100</f>
        <v>47</v>
      </c>
      <c r="J25" s="120"/>
    </row>
    <row r="26" spans="1:10" ht="15.75" x14ac:dyDescent="0.25">
      <c r="A26" s="11"/>
      <c r="B26" s="19"/>
      <c r="C26" s="62" t="s">
        <v>72</v>
      </c>
      <c r="D26" s="70" t="s">
        <v>69</v>
      </c>
      <c r="E26" s="45">
        <v>32</v>
      </c>
      <c r="F26" s="87">
        <f>E26*6.6/100</f>
        <v>2.1120000000000001</v>
      </c>
      <c r="G26" s="59">
        <f>E26*1.2/100</f>
        <v>0.38400000000000001</v>
      </c>
      <c r="H26" s="59">
        <f>E26*33.4/100</f>
        <v>10.687999999999999</v>
      </c>
      <c r="I26" s="59">
        <f>E26*174/100</f>
        <v>55.68</v>
      </c>
      <c r="J26" s="116"/>
    </row>
    <row r="27" spans="1:10" ht="15.75" x14ac:dyDescent="0.25">
      <c r="A27" s="4"/>
      <c r="B27" s="19"/>
      <c r="C27" s="62"/>
      <c r="D27" s="70"/>
      <c r="E27" s="45"/>
      <c r="F27" s="87"/>
      <c r="G27" s="59"/>
      <c r="H27" s="59"/>
      <c r="I27" s="59"/>
      <c r="J27" s="116"/>
    </row>
    <row r="28" spans="1:10" ht="15.75" x14ac:dyDescent="0.25">
      <c r="A28" s="4"/>
      <c r="B28" s="19"/>
      <c r="C28" s="62"/>
      <c r="D28" s="70"/>
      <c r="E28" s="45"/>
      <c r="F28" s="87"/>
      <c r="G28" s="59"/>
      <c r="H28" s="59"/>
      <c r="I28" s="59"/>
      <c r="J28" s="116"/>
    </row>
    <row r="29" spans="1:10" ht="47.25" x14ac:dyDescent="0.25">
      <c r="A29" s="64" t="s">
        <v>33</v>
      </c>
      <c r="B29" s="63"/>
      <c r="C29" s="69" t="s">
        <v>75</v>
      </c>
      <c r="D29" s="68" t="s">
        <v>73</v>
      </c>
      <c r="E29" s="72">
        <v>60</v>
      </c>
      <c r="F29" s="73">
        <f>E29*3.63/60</f>
        <v>3.63</v>
      </c>
      <c r="G29" s="93">
        <f>E29*4.24/60</f>
        <v>4.24</v>
      </c>
      <c r="H29" s="93">
        <f>E29*21.9/60</f>
        <v>21.9</v>
      </c>
      <c r="I29" s="93">
        <f>E29*140.12/60</f>
        <v>140.12</v>
      </c>
      <c r="J29" s="116"/>
    </row>
    <row r="30" spans="1:10" ht="15.75" x14ac:dyDescent="0.25">
      <c r="A30" s="1"/>
      <c r="B30" s="1"/>
      <c r="C30" s="61" t="s">
        <v>76</v>
      </c>
      <c r="D30" s="88" t="s">
        <v>74</v>
      </c>
      <c r="E30" s="72">
        <v>150</v>
      </c>
      <c r="F30" s="73">
        <f>E30*0.68/200</f>
        <v>0.51000000000000012</v>
      </c>
      <c r="G30" s="73">
        <v>0</v>
      </c>
      <c r="H30" s="73">
        <f>E30*23.05/200</f>
        <v>17.287500000000001</v>
      </c>
      <c r="I30" s="73">
        <f>E30*94.9/200</f>
        <v>71.174999999999997</v>
      </c>
      <c r="J30" s="116"/>
    </row>
  </sheetData>
  <mergeCells count="7">
    <mergeCell ref="A1:I1"/>
    <mergeCell ref="G3:I3"/>
    <mergeCell ref="G4:I4"/>
    <mergeCell ref="G5:I5"/>
    <mergeCell ref="E9:G9"/>
    <mergeCell ref="A9:D9"/>
    <mergeCell ref="A7:D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9" workbookViewId="0">
      <selection activeCell="P15" sqref="P15"/>
    </sheetView>
  </sheetViews>
  <sheetFormatPr defaultRowHeight="15" x14ac:dyDescent="0.25"/>
  <cols>
    <col min="3" max="3" width="7.28515625" customWidth="1"/>
    <col min="4" max="4" width="18.85546875" customWidth="1"/>
  </cols>
  <sheetData>
    <row r="1" spans="1:9" x14ac:dyDescent="0.25">
      <c r="A1" s="109" t="s">
        <v>15</v>
      </c>
      <c r="B1" s="109"/>
      <c r="C1" s="109"/>
      <c r="D1" s="109"/>
      <c r="E1" s="109"/>
      <c r="F1" s="109"/>
      <c r="G1" s="109"/>
      <c r="H1" s="109"/>
      <c r="I1" s="109"/>
    </row>
    <row r="3" spans="1:9" ht="18.75" x14ac:dyDescent="0.3">
      <c r="A3" s="4"/>
      <c r="B3" s="4"/>
      <c r="C3" s="4"/>
      <c r="D3" s="4"/>
      <c r="G3" s="105" t="s">
        <v>17</v>
      </c>
      <c r="H3" s="105"/>
      <c r="I3" s="105"/>
    </row>
    <row r="4" spans="1:9" ht="15.75" x14ac:dyDescent="0.25">
      <c r="A4" s="4"/>
      <c r="B4" s="4"/>
      <c r="C4" s="4"/>
      <c r="D4" s="4"/>
      <c r="G4" s="106" t="s">
        <v>18</v>
      </c>
      <c r="H4" s="106"/>
      <c r="I4" s="106"/>
    </row>
    <row r="5" spans="1:9" ht="15.75" x14ac:dyDescent="0.25">
      <c r="A5" s="4"/>
      <c r="B5" s="4"/>
      <c r="C5" s="4"/>
      <c r="D5" s="4"/>
      <c r="G5" s="107" t="s">
        <v>19</v>
      </c>
      <c r="H5" s="107"/>
      <c r="I5" s="107"/>
    </row>
    <row r="6" spans="1:9" ht="15.75" x14ac:dyDescent="0.25">
      <c r="A6" s="4"/>
      <c r="B6" s="4"/>
      <c r="C6" s="4"/>
      <c r="D6" s="4"/>
      <c r="E6" s="39"/>
      <c r="F6" s="39"/>
    </row>
    <row r="7" spans="1:9" ht="15.75" x14ac:dyDescent="0.25">
      <c r="A7" s="111" t="s">
        <v>34</v>
      </c>
      <c r="B7" s="110"/>
      <c r="C7" s="110"/>
      <c r="D7" s="110"/>
      <c r="E7" s="39"/>
      <c r="F7" s="39"/>
      <c r="H7" s="112" t="s">
        <v>82</v>
      </c>
      <c r="I7" s="112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111"/>
      <c r="B9" s="110"/>
      <c r="C9" s="110"/>
      <c r="D9" s="110"/>
      <c r="E9" s="108" t="s">
        <v>77</v>
      </c>
      <c r="F9" s="110"/>
      <c r="G9" s="110"/>
      <c r="H9" s="46">
        <v>7</v>
      </c>
      <c r="I9" t="s">
        <v>1</v>
      </c>
    </row>
    <row r="10" spans="1:9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20</v>
      </c>
      <c r="G11" s="25" t="s">
        <v>21</v>
      </c>
      <c r="H11" s="33" t="s">
        <v>22</v>
      </c>
      <c r="I11" s="36" t="s">
        <v>23</v>
      </c>
    </row>
    <row r="12" spans="1:9" ht="31.5" x14ac:dyDescent="0.25">
      <c r="A12" s="10" t="s">
        <v>5</v>
      </c>
      <c r="B12" s="52" t="s">
        <v>6</v>
      </c>
      <c r="C12" s="69" t="s">
        <v>54</v>
      </c>
      <c r="D12" s="58" t="s">
        <v>53</v>
      </c>
      <c r="E12" s="45">
        <v>150</v>
      </c>
      <c r="F12" s="59">
        <f>E12*42.68/1000</f>
        <v>6.4020000000000001</v>
      </c>
      <c r="G12" s="59">
        <f>E12*57.5/1000</f>
        <v>8.625</v>
      </c>
      <c r="H12" s="59">
        <f>E12*191.17/1000</f>
        <v>28.675499999999996</v>
      </c>
      <c r="I12" s="59">
        <f>E12*1467.87/1000</f>
        <v>220.18049999999997</v>
      </c>
    </row>
    <row r="13" spans="1:9" ht="30" x14ac:dyDescent="0.25">
      <c r="A13" s="11"/>
      <c r="B13" s="53" t="s">
        <v>7</v>
      </c>
      <c r="C13" s="69" t="s">
        <v>56</v>
      </c>
      <c r="D13" s="88" t="s">
        <v>55</v>
      </c>
      <c r="E13" s="94">
        <v>180</v>
      </c>
      <c r="F13" s="95">
        <f>E13*1.45/200</f>
        <v>1.3049999999999999</v>
      </c>
      <c r="G13" s="95">
        <f>E13*1.25/200</f>
        <v>1.125</v>
      </c>
      <c r="H13" s="95">
        <f>E13*17.44/200</f>
        <v>15.696000000000002</v>
      </c>
      <c r="I13" s="95">
        <f>E13*87.12/200</f>
        <v>78.408000000000001</v>
      </c>
    </row>
    <row r="14" spans="1:9" ht="15.75" x14ac:dyDescent="0.25">
      <c r="A14" s="11"/>
      <c r="B14" s="54" t="s">
        <v>12</v>
      </c>
      <c r="C14" s="60" t="s">
        <v>31</v>
      </c>
      <c r="D14" s="2" t="s">
        <v>24</v>
      </c>
      <c r="E14" s="28">
        <v>30</v>
      </c>
      <c r="F14" s="37">
        <f>E14*7.6/100</f>
        <v>2.2799999999999998</v>
      </c>
      <c r="G14" s="38">
        <f>E14*0.8/100</f>
        <v>0.24</v>
      </c>
      <c r="H14" s="38">
        <f>E14*49.2/100</f>
        <v>14.76</v>
      </c>
      <c r="I14" s="38">
        <f>E14*235/100</f>
        <v>70.5</v>
      </c>
    </row>
    <row r="15" spans="1:9" ht="31.5" x14ac:dyDescent="0.25">
      <c r="A15" s="11"/>
      <c r="B15" s="55"/>
      <c r="C15" s="67" t="s">
        <v>58</v>
      </c>
      <c r="D15" s="77" t="s">
        <v>57</v>
      </c>
      <c r="E15" s="27">
        <v>8</v>
      </c>
      <c r="F15" s="37">
        <f>E15*25.6/100</f>
        <v>2.048</v>
      </c>
      <c r="G15" s="38">
        <f>E15*26.1/100</f>
        <v>2.0880000000000001</v>
      </c>
      <c r="H15" s="38">
        <v>0</v>
      </c>
      <c r="I15" s="38">
        <f>E15*343/100</f>
        <v>27.44</v>
      </c>
    </row>
    <row r="16" spans="1:9" ht="16.5" thickBot="1" x14ac:dyDescent="0.3">
      <c r="A16" s="15"/>
      <c r="B16" s="66"/>
      <c r="C16" s="60"/>
      <c r="D16" s="2"/>
      <c r="E16" s="28"/>
      <c r="F16" s="28"/>
      <c r="G16" s="27"/>
      <c r="H16" s="27"/>
      <c r="I16" s="27"/>
    </row>
    <row r="17" spans="1:10" ht="15.75" x14ac:dyDescent="0.25">
      <c r="A17" s="11"/>
      <c r="B17" s="55"/>
      <c r="C17" s="60"/>
      <c r="D17" s="2"/>
      <c r="E17" s="28"/>
      <c r="F17" s="38"/>
      <c r="G17" s="38"/>
      <c r="H17" s="38"/>
      <c r="I17" s="38"/>
    </row>
    <row r="18" spans="1:10" ht="30" customHeight="1" x14ac:dyDescent="0.25">
      <c r="A18" s="65" t="s">
        <v>32</v>
      </c>
      <c r="B18" s="89"/>
      <c r="C18" s="91" t="s">
        <v>60</v>
      </c>
      <c r="D18" s="88" t="s">
        <v>59</v>
      </c>
      <c r="E18" s="45">
        <v>100</v>
      </c>
      <c r="F18" s="59">
        <f>E18*0.5/100</f>
        <v>0.5</v>
      </c>
      <c r="G18" s="59">
        <f>E18*0.1/100</f>
        <v>0.1</v>
      </c>
      <c r="H18" s="59">
        <f>E18*10.1/100</f>
        <v>10.1</v>
      </c>
      <c r="I18" s="59">
        <f>E18*46/100</f>
        <v>46</v>
      </c>
    </row>
    <row r="19" spans="1:10" ht="16.5" thickBot="1" x14ac:dyDescent="0.3">
      <c r="A19" s="15"/>
      <c r="B19" s="16"/>
      <c r="C19" s="92"/>
      <c r="D19" s="29"/>
      <c r="E19" s="3"/>
      <c r="F19" s="17"/>
      <c r="G19" s="17"/>
      <c r="H19" s="34"/>
      <c r="I19" s="56"/>
    </row>
    <row r="20" spans="1:10" ht="47.25" x14ac:dyDescent="0.25">
      <c r="A20" s="18" t="s">
        <v>8</v>
      </c>
      <c r="B20" s="44" t="s">
        <v>9</v>
      </c>
      <c r="C20" s="67" t="s">
        <v>62</v>
      </c>
      <c r="D20" s="58" t="s">
        <v>61</v>
      </c>
      <c r="E20" s="45">
        <v>60</v>
      </c>
      <c r="F20" s="96">
        <f>E20*0.8/100</f>
        <v>0.48</v>
      </c>
      <c r="G20" s="96">
        <f>E20*0.1/100</f>
        <v>0.06</v>
      </c>
      <c r="H20" s="96">
        <f>E20*1.7/100</f>
        <v>1.02</v>
      </c>
      <c r="I20" s="96">
        <f>E20*13/100</f>
        <v>7.8</v>
      </c>
      <c r="J20" s="71"/>
    </row>
    <row r="21" spans="1:10" ht="45" x14ac:dyDescent="0.25">
      <c r="A21" s="11"/>
      <c r="B21" s="30" t="s">
        <v>10</v>
      </c>
      <c r="C21" s="69" t="s">
        <v>65</v>
      </c>
      <c r="D21" s="97" t="s">
        <v>63</v>
      </c>
      <c r="E21" s="78">
        <v>200</v>
      </c>
      <c r="F21" s="87">
        <f>E21*11.09/1000</f>
        <v>2.218</v>
      </c>
      <c r="G21" s="87">
        <f>E21*11.79/1000</f>
        <v>2.3580000000000001</v>
      </c>
      <c r="H21" s="87">
        <f>E21*60.56/1000</f>
        <v>12.112</v>
      </c>
      <c r="I21" s="87">
        <f>E21*454.19/1000</f>
        <v>90.837999999999994</v>
      </c>
    </row>
    <row r="22" spans="1:10" ht="15.75" x14ac:dyDescent="0.25">
      <c r="A22" s="11"/>
      <c r="B22" t="s">
        <v>81</v>
      </c>
      <c r="C22" s="61" t="s">
        <v>66</v>
      </c>
      <c r="D22" s="70" t="s">
        <v>44</v>
      </c>
      <c r="E22" s="45">
        <v>150</v>
      </c>
      <c r="F22" s="59">
        <f>E22*2.05/100</f>
        <v>3.0750000000000002</v>
      </c>
      <c r="G22" s="59">
        <f>E22*4.24/100</f>
        <v>6.36</v>
      </c>
      <c r="H22" s="59">
        <f>E22*9.39/100</f>
        <v>14.085000000000001</v>
      </c>
      <c r="I22" s="59">
        <f>E22*96.86/100</f>
        <v>145.29</v>
      </c>
    </row>
    <row r="23" spans="1:10" ht="31.5" x14ac:dyDescent="0.25">
      <c r="A23" s="11"/>
      <c r="B23" s="31" t="s">
        <v>11</v>
      </c>
      <c r="C23" s="69" t="s">
        <v>67</v>
      </c>
      <c r="D23" s="68" t="s">
        <v>64</v>
      </c>
      <c r="E23" s="72">
        <v>80</v>
      </c>
      <c r="F23" s="73">
        <f>E23*15.94/100</f>
        <v>12.752000000000001</v>
      </c>
      <c r="G23" s="73">
        <f>E23*11.07/100</f>
        <v>8.8559999999999999</v>
      </c>
      <c r="H23" s="73">
        <f>E23*9.92/100</f>
        <v>7.9359999999999999</v>
      </c>
      <c r="I23" s="73">
        <f>E23*203.07/100</f>
        <v>162.45599999999999</v>
      </c>
    </row>
    <row r="24" spans="1:10" ht="47.25" x14ac:dyDescent="0.25">
      <c r="A24" s="11"/>
      <c r="B24" s="32"/>
      <c r="C24" s="67" t="s">
        <v>70</v>
      </c>
      <c r="D24" s="58" t="s">
        <v>68</v>
      </c>
      <c r="E24" s="45">
        <v>200</v>
      </c>
      <c r="F24" s="87">
        <f>E24*0.48/200</f>
        <v>0.48</v>
      </c>
      <c r="G24" s="87">
        <f>E24*0.28/200</f>
        <v>0.28000000000000003</v>
      </c>
      <c r="H24" s="87">
        <f>E24*14.07/200</f>
        <v>14.07</v>
      </c>
      <c r="I24" s="87">
        <f>E24*60.68/200</f>
        <v>60.68</v>
      </c>
    </row>
    <row r="25" spans="1:10" ht="15.75" x14ac:dyDescent="0.25">
      <c r="A25" s="11"/>
      <c r="B25" s="12"/>
      <c r="C25" s="61" t="s">
        <v>71</v>
      </c>
      <c r="D25" s="88" t="s">
        <v>24</v>
      </c>
      <c r="E25" s="45">
        <v>35</v>
      </c>
      <c r="F25" s="87">
        <f>E25*7.6/100</f>
        <v>2.66</v>
      </c>
      <c r="G25" s="59">
        <f>E25*0.8/100</f>
        <v>0.28000000000000003</v>
      </c>
      <c r="H25" s="59">
        <f>E25*49.2/100</f>
        <v>17.22</v>
      </c>
      <c r="I25" s="59">
        <f>E25*235/100</f>
        <v>82.25</v>
      </c>
    </row>
    <row r="26" spans="1:10" ht="15.75" x14ac:dyDescent="0.25">
      <c r="A26" s="11"/>
      <c r="B26" s="19"/>
      <c r="C26" s="62" t="s">
        <v>72</v>
      </c>
      <c r="D26" s="70" t="s">
        <v>69</v>
      </c>
      <c r="E26" s="45">
        <v>40</v>
      </c>
      <c r="F26" s="87">
        <f>E26*6.6/100</f>
        <v>2.64</v>
      </c>
      <c r="G26" s="59">
        <f>E26*1.2/100</f>
        <v>0.48</v>
      </c>
      <c r="H26" s="59">
        <f>E26*33.4/100</f>
        <v>13.36</v>
      </c>
      <c r="I26" s="59">
        <f>E26*174/100</f>
        <v>69.599999999999994</v>
      </c>
    </row>
    <row r="27" spans="1:10" ht="15.75" x14ac:dyDescent="0.25">
      <c r="A27" s="4"/>
      <c r="B27" s="19"/>
      <c r="C27" s="62"/>
      <c r="D27" s="70"/>
      <c r="E27" s="45"/>
      <c r="F27" s="87"/>
      <c r="G27" s="59"/>
      <c r="H27" s="59"/>
      <c r="I27" s="59"/>
    </row>
    <row r="28" spans="1:10" ht="63" x14ac:dyDescent="0.25">
      <c r="A28" s="64" t="s">
        <v>33</v>
      </c>
      <c r="B28" s="63"/>
      <c r="C28" s="69" t="s">
        <v>75</v>
      </c>
      <c r="D28" s="68" t="s">
        <v>73</v>
      </c>
      <c r="E28" s="72">
        <v>75</v>
      </c>
      <c r="F28" s="73">
        <f>E28*3.63/60</f>
        <v>4.5374999999999996</v>
      </c>
      <c r="G28" s="93">
        <f>E28*4.24/60</f>
        <v>5.3</v>
      </c>
      <c r="H28" s="93">
        <f>E28*21.9/60</f>
        <v>27.375</v>
      </c>
      <c r="I28" s="93">
        <f>E28*140.12/60</f>
        <v>175.15</v>
      </c>
    </row>
    <row r="29" spans="1:10" ht="31.5" x14ac:dyDescent="0.25">
      <c r="A29" s="1"/>
      <c r="B29" s="1"/>
      <c r="C29" s="69" t="s">
        <v>76</v>
      </c>
      <c r="D29" s="68" t="s">
        <v>74</v>
      </c>
      <c r="E29" s="72">
        <v>180</v>
      </c>
      <c r="F29" s="73">
        <f>E29*0.68/200</f>
        <v>0.61199999999999999</v>
      </c>
      <c r="G29" s="73">
        <v>0</v>
      </c>
      <c r="H29" s="73">
        <f>E29*23.05/200</f>
        <v>20.745000000000001</v>
      </c>
      <c r="I29" s="73">
        <f>E29*94.9/200</f>
        <v>85.41</v>
      </c>
      <c r="J29" s="57"/>
    </row>
  </sheetData>
  <mergeCells count="8">
    <mergeCell ref="A1:I1"/>
    <mergeCell ref="A9:D9"/>
    <mergeCell ref="G3:I3"/>
    <mergeCell ref="G4:I4"/>
    <mergeCell ref="G5:I5"/>
    <mergeCell ref="E9:G9"/>
    <mergeCell ref="A7:D7"/>
    <mergeCell ref="H7:I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2025-09-14T16:06:04Z</cp:lastPrinted>
  <dcterms:created xsi:type="dcterms:W3CDTF">2015-06-05T18:19:34Z</dcterms:created>
  <dcterms:modified xsi:type="dcterms:W3CDTF">2025-09-14T16:06:09Z</dcterms:modified>
</cp:coreProperties>
</file>