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октябрь\"/>
    </mc:Choice>
  </mc:AlternateContent>
  <xr:revisionPtr revIDLastSave="0" documentId="13_ncr:1_{ED58354C-84A9-401A-B83D-DB220B5203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-11 лет" sheetId="1" r:id="rId1"/>
    <sheet name="12 и старше" sheetId="2" r:id="rId2"/>
    <sheet name="до 3 лет" sheetId="3" r:id="rId3"/>
    <sheet name="3-7 лет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  <c r="H20" i="2"/>
  <c r="G20" i="2"/>
  <c r="F20" i="2"/>
  <c r="I28" i="4" l="1"/>
  <c r="H28" i="4"/>
  <c r="G28" i="4"/>
  <c r="F28" i="4"/>
  <c r="I27" i="4"/>
  <c r="H27" i="4"/>
  <c r="G27" i="4"/>
  <c r="F27" i="4"/>
  <c r="I25" i="4"/>
  <c r="H25" i="4"/>
  <c r="G25" i="4"/>
  <c r="F25" i="4"/>
  <c r="I24" i="4"/>
  <c r="H24" i="4"/>
  <c r="G24" i="4"/>
  <c r="F24" i="4"/>
  <c r="I23" i="4"/>
  <c r="H23" i="4"/>
  <c r="G23" i="4"/>
  <c r="F23" i="4"/>
  <c r="I21" i="4"/>
  <c r="H21" i="4"/>
  <c r="G21" i="4"/>
  <c r="F21" i="4"/>
  <c r="I20" i="4"/>
  <c r="H20" i="4"/>
  <c r="G20" i="4"/>
  <c r="F20" i="4"/>
  <c r="I19" i="4"/>
  <c r="H19" i="4"/>
  <c r="G19" i="4"/>
  <c r="F19" i="4"/>
  <c r="I17" i="4"/>
  <c r="H17" i="4"/>
  <c r="G17" i="4"/>
  <c r="F17" i="4"/>
  <c r="I15" i="4"/>
  <c r="H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28" i="3"/>
  <c r="H28" i="3"/>
  <c r="G28" i="3"/>
  <c r="F28" i="3"/>
  <c r="I27" i="3"/>
  <c r="H27" i="3"/>
  <c r="G27" i="3"/>
  <c r="F27" i="3"/>
  <c r="I25" i="3"/>
  <c r="H25" i="3"/>
  <c r="G25" i="3"/>
  <c r="F25" i="3"/>
  <c r="I24" i="3"/>
  <c r="H24" i="3"/>
  <c r="G24" i="3"/>
  <c r="F24" i="3"/>
  <c r="I23" i="3"/>
  <c r="H23" i="3"/>
  <c r="G23" i="3"/>
  <c r="F23" i="3"/>
  <c r="I21" i="3"/>
  <c r="H21" i="3"/>
  <c r="G21" i="3"/>
  <c r="F21" i="3"/>
  <c r="I20" i="3"/>
  <c r="H20" i="3"/>
  <c r="G20" i="3"/>
  <c r="F20" i="3"/>
  <c r="I19" i="3"/>
  <c r="H19" i="3"/>
  <c r="G19" i="3"/>
  <c r="F19" i="3"/>
  <c r="I17" i="3"/>
  <c r="H17" i="3"/>
  <c r="G17" i="3"/>
  <c r="F17" i="3"/>
  <c r="I15" i="3"/>
  <c r="H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  <c r="I18" i="2" l="1"/>
  <c r="H18" i="2"/>
  <c r="G18" i="2"/>
  <c r="F18" i="2"/>
  <c r="I17" i="2"/>
  <c r="H17" i="2"/>
  <c r="G17" i="2"/>
  <c r="F17" i="2"/>
  <c r="I15" i="2"/>
  <c r="H15" i="2"/>
  <c r="G15" i="2"/>
  <c r="F15" i="2"/>
  <c r="I14" i="2"/>
  <c r="H14" i="2"/>
  <c r="G14" i="2"/>
  <c r="F14" i="2"/>
  <c r="I13" i="2"/>
  <c r="H13" i="2"/>
  <c r="G13" i="2"/>
  <c r="F13" i="2"/>
  <c r="I16" i="1" l="1"/>
  <c r="H16" i="1"/>
  <c r="G16" i="1"/>
  <c r="F16" i="1"/>
  <c r="I15" i="1"/>
  <c r="H15" i="1"/>
  <c r="G15" i="1"/>
  <c r="F15" i="1"/>
  <c r="I14" i="1"/>
  <c r="H14" i="1"/>
  <c r="G14" i="1"/>
  <c r="F14" i="1"/>
  <c r="I12" i="1"/>
  <c r="H12" i="1"/>
  <c r="G12" i="1"/>
  <c r="F12" i="1"/>
  <c r="I28" i="1"/>
  <c r="H28" i="1"/>
  <c r="G28" i="1"/>
  <c r="F28" i="1"/>
  <c r="I27" i="1"/>
  <c r="H27" i="1"/>
  <c r="G27" i="1"/>
  <c r="F27" i="1"/>
  <c r="I25" i="1"/>
  <c r="H25" i="1"/>
  <c r="G25" i="1"/>
  <c r="F25" i="1"/>
  <c r="I24" i="1"/>
  <c r="H24" i="1"/>
  <c r="G24" i="1"/>
  <c r="F24" i="1"/>
  <c r="I23" i="1"/>
  <c r="H23" i="1"/>
  <c r="G23" i="1"/>
  <c r="F23" i="1"/>
  <c r="I20" i="1"/>
  <c r="H20" i="1"/>
  <c r="G20" i="1"/>
  <c r="F20" i="1"/>
</calcChain>
</file>

<file path=xl/sharedStrings.xml><?xml version="1.0" encoding="utf-8"?>
<sst xmlns="http://schemas.openxmlformats.org/spreadsheetml/2006/main" count="193" uniqueCount="81">
  <si>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</si>
  <si>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</si>
  <si>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</si>
  <si>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</si>
  <si>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</si>
  <si>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</si>
  <si>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</si>
  <si>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</si>
  <si>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</si>
  <si>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</si>
  <si>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</si>
  <si>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</si>
  <si>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</t>
  </si>
  <si>
    <t>№ рец.</t>
  </si>
  <si>
    <t>Выход, г</t>
  </si>
  <si>
    <t>МБОУ "КСОШ им.Героя РФ С.В.Перца"</t>
  </si>
  <si>
    <t xml:space="preserve">компот </t>
  </si>
  <si>
    <t>7-11 лет</t>
  </si>
  <si>
    <t>полдник</t>
  </si>
  <si>
    <t>Утверждено</t>
  </si>
  <si>
    <t>Директор школы</t>
  </si>
  <si>
    <t>_____Ю.П.Артиева</t>
  </si>
  <si>
    <t>Б</t>
  </si>
  <si>
    <t>Ж</t>
  </si>
  <si>
    <t>У</t>
  </si>
  <si>
    <t>кКал</t>
  </si>
  <si>
    <t>12 лет и старше</t>
  </si>
  <si>
    <t>масло сливочное</t>
  </si>
  <si>
    <t>хлеб пшеничный</t>
  </si>
  <si>
    <t>№ 89</t>
  </si>
  <si>
    <t>хлеб пшеничн.</t>
  </si>
  <si>
    <t>хлеб ржаной</t>
  </si>
  <si>
    <t>№ 112</t>
  </si>
  <si>
    <t>Каша пшенная молочная жидкая</t>
  </si>
  <si>
    <t>№54-4гн</t>
  </si>
  <si>
    <t>чай с молоком с сахаром</t>
  </si>
  <si>
    <t>№ 365</t>
  </si>
  <si>
    <t>банан</t>
  </si>
  <si>
    <t>№ 274</t>
  </si>
  <si>
    <t>кисель из концентрата плодового или ягодного</t>
  </si>
  <si>
    <t>№ 307</t>
  </si>
  <si>
    <t>булочка "Веснушка"</t>
  </si>
  <si>
    <t>йогурт</t>
  </si>
  <si>
    <t>№ 16</t>
  </si>
  <si>
    <t>Салат из свежих огурцов</t>
  </si>
  <si>
    <t>№ 45</t>
  </si>
  <si>
    <t xml:space="preserve">суп картофельный с бобовыми </t>
  </si>
  <si>
    <t>№ 214</t>
  </si>
  <si>
    <t>Рагу из птицы</t>
  </si>
  <si>
    <t>№54-11хн</t>
  </si>
  <si>
    <t>компот из брусники</t>
  </si>
  <si>
    <t>день</t>
  </si>
  <si>
    <t xml:space="preserve">Суп картофельный с бобовыми </t>
  </si>
  <si>
    <t>Дошкольное отделение</t>
  </si>
  <si>
    <t>Понедельник</t>
  </si>
  <si>
    <t>до 3 лет</t>
  </si>
  <si>
    <t>№ 119</t>
  </si>
  <si>
    <t>Масло сливочное</t>
  </si>
  <si>
    <t>№ 122</t>
  </si>
  <si>
    <t>Хлеб пшеничный</t>
  </si>
  <si>
    <t>II завтрак:</t>
  </si>
  <si>
    <t>№122</t>
  </si>
  <si>
    <t>№123</t>
  </si>
  <si>
    <t>Хлеб ржаной</t>
  </si>
  <si>
    <t>Полдник</t>
  </si>
  <si>
    <t>№ 282</t>
  </si>
  <si>
    <t>Чай с молоком</t>
  </si>
  <si>
    <t>№ 507</t>
  </si>
  <si>
    <t>Плоды свежие (банан)</t>
  </si>
  <si>
    <t>№126</t>
  </si>
  <si>
    <t>№16</t>
  </si>
  <si>
    <t>Суп картофельный с бобовыми</t>
  </si>
  <si>
    <t>№158</t>
  </si>
  <si>
    <t>№417</t>
  </si>
  <si>
    <t>Компот из свежих плодов или ягод</t>
  </si>
  <si>
    <t>№521</t>
  </si>
  <si>
    <t>Оладьи из творога</t>
  </si>
  <si>
    <t>Ряженка</t>
  </si>
  <si>
    <t>№340</t>
  </si>
  <si>
    <t>№530</t>
  </si>
  <si>
    <t>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</si>
</sst>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1">
    <xf numFmtId="0" fontId="0" fillId="0" borderId="0" xfId="0"/>
    <xf numFmtId="0" fontId="0" fillId="0" borderId="1" xfId="0" applyBorder="1"/>
    <xf numFmtId="0" fontId="1" fillId="0" borderId="3" xfId="0" applyFont="1" applyBorder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 applyProtection="1">
      <protection locked="0"/>
    </xf>
    <xf numFmtId="0" fontId="5" fillId="2" borderId="0" xfId="0" applyFont="1" applyFill="1"/>
    <xf numFmtId="0" fontId="6" fillId="0" borderId="5" xfId="0" applyFont="1" applyBorder="1"/>
    <xf numFmtId="0" fontId="5" fillId="2" borderId="6" xfId="0" applyFont="1" applyFill="1" applyBorder="1"/>
    <xf numFmtId="0" fontId="5" fillId="0" borderId="7" xfId="0" applyFont="1" applyBorder="1"/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0" fontId="6" fillId="0" borderId="7" xfId="0" applyFont="1" applyBorder="1"/>
    <xf numFmtId="0" fontId="5" fillId="2" borderId="4" xfId="0" applyFont="1" applyFill="1" applyBorder="1"/>
    <xf numFmtId="0" fontId="5" fillId="0" borderId="1" xfId="0" applyFont="1" applyBorder="1"/>
    <xf numFmtId="1" fontId="5" fillId="2" borderId="12" xfId="0" applyNumberFormat="1" applyFont="1" applyFill="1" applyBorder="1" applyProtection="1">
      <protection locked="0"/>
    </xf>
    <xf numFmtId="0" fontId="5" fillId="0" borderId="2" xfId="0" applyFont="1" applyBorder="1"/>
    <xf numFmtId="0" fontId="6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2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>
      <alignment horizontal="center" vertical="center"/>
    </xf>
    <xf numFmtId="1" fontId="5" fillId="2" borderId="1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5" xfId="0" applyFont="1" applyFill="1" applyBorder="1" applyProtection="1">
      <protection locked="0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left"/>
    </xf>
    <xf numFmtId="0" fontId="1" fillId="0" borderId="3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0" fontId="7" fillId="0" borderId="1" xfId="0" applyFont="1" applyBorder="1"/>
    <xf numFmtId="0" fontId="7" fillId="0" borderId="1" xfId="1" applyFont="1" applyBorder="1" applyAlignment="1">
      <alignment horizontal="left"/>
    </xf>
    <xf numFmtId="0" fontId="1" fillId="0" borderId="3" xfId="1" applyFont="1" applyBorder="1"/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0" fillId="0" borderId="3" xfId="0" applyFont="1" applyBorder="1"/>
    <xf numFmtId="0" fontId="1" fillId="0" borderId="1" xfId="1" applyFont="1" applyBorder="1" applyAlignment="1">
      <alignment horizontal="left"/>
    </xf>
    <xf numFmtId="0" fontId="6" fillId="0" borderId="7" xfId="0" applyFont="1" applyBorder="1" applyAlignment="1">
      <alignment vertical="center"/>
    </xf>
    <xf numFmtId="0" fontId="1" fillId="0" borderId="1" xfId="1" applyFont="1" applyBorder="1" applyAlignment="1">
      <alignment horizontal="right" vertical="top" wrapText="1"/>
    </xf>
    <xf numFmtId="2" fontId="1" fillId="0" borderId="1" xfId="1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/>
    </xf>
    <xf numFmtId="0" fontId="6" fillId="2" borderId="0" xfId="0" applyFont="1" applyFill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1" fillId="0" borderId="3" xfId="1" applyFont="1" applyBorder="1" applyAlignment="1">
      <alignment wrapText="1"/>
    </xf>
    <xf numFmtId="0" fontId="1" fillId="0" borderId="1" xfId="1" applyFont="1" applyBorder="1" applyAlignment="1">
      <alignment horizontal="right" vertical="center" wrapText="1"/>
    </xf>
    <xf numFmtId="2" fontId="1" fillId="0" borderId="1" xfId="1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7" fillId="2" borderId="3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7" fillId="0" borderId="1" xfId="0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0" fontId="3" fillId="2" borderId="1" xfId="0" applyFont="1" applyFill="1" applyBorder="1" applyProtection="1">
      <protection locked="0"/>
    </xf>
    <xf numFmtId="2" fontId="7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center"/>
    </xf>
    <xf numFmtId="0" fontId="5" fillId="2" borderId="15" xfId="0" applyFont="1" applyFill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2" fontId="7" fillId="0" borderId="1" xfId="0" applyNumberFormat="1" applyFont="1" applyBorder="1" applyAlignment="1">
      <alignment horizontal="right"/>
    </xf>
    <xf numFmtId="0" fontId="12" fillId="2" borderId="9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0" fontId="1" fillId="0" borderId="1" xfId="1" applyFont="1" applyBorder="1" applyAlignment="1">
      <alignment horizontal="center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16" fillId="0" borderId="1" xfId="0" applyFont="1" applyBorder="1"/>
    <xf numFmtId="0" fontId="17" fillId="2" borderId="4" xfId="0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7" fillId="2" borderId="1" xfId="0" applyFont="1" applyFill="1" applyBorder="1"/>
    <xf numFmtId="2" fontId="7" fillId="2" borderId="1" xfId="0" applyNumberFormat="1" applyFont="1" applyFill="1" applyBorder="1"/>
    <xf numFmtId="0" fontId="3" fillId="0" borderId="1" xfId="0" applyFont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/>
    </xf>
    <xf numFmtId="0" fontId="13" fillId="2" borderId="3" xfId="0" applyFont="1" applyFill="1" applyBorder="1"/>
    <xf numFmtId="0" fontId="13" fillId="2" borderId="1" xfId="0" applyFont="1" applyFill="1" applyBorder="1" applyAlignment="1">
      <alignment horizontal="right" vertical="top" wrapText="1"/>
    </xf>
    <xf numFmtId="2" fontId="13" fillId="2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center"/>
    </xf>
    <xf numFmtId="2" fontId="7" fillId="0" borderId="1" xfId="0" applyNumberFormat="1" applyFont="1" applyBorder="1"/>
    <xf numFmtId="0" fontId="12" fillId="0" borderId="1" xfId="0" applyFont="1" applyBorder="1"/>
    <xf numFmtId="0" fontId="7" fillId="0" borderId="3" xfId="0" applyFont="1" applyBorder="1"/>
    <xf numFmtId="0" fontId="7" fillId="0" borderId="1" xfId="0" applyFont="1" applyBorder="1" applyAlignment="1">
      <alignment horizontal="right"/>
    </xf>
    <xf numFmtId="0" fontId="12" fillId="2" borderId="1" xfId="0" applyFont="1" applyFill="1" applyBorder="1" applyProtection="1">
      <protection locked="0"/>
    </xf>
    <xf numFmtId="0" fontId="7" fillId="2" borderId="3" xfId="1" applyFont="1" applyFill="1" applyBorder="1"/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8" fillId="0" borderId="1" xfId="0" applyFont="1" applyBorder="1"/>
    <xf numFmtId="0" fontId="7" fillId="2" borderId="3" xfId="0" applyFont="1" applyFill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7" fillId="0" borderId="1" xfId="1" applyFont="1" applyBorder="1" applyAlignment="1">
      <alignment vertical="center"/>
    </xf>
    <xf numFmtId="2" fontId="7" fillId="0" borderId="1" xfId="1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2" borderId="3" xfId="1" applyFont="1" applyFill="1" applyBorder="1" applyAlignment="1">
      <alignment vertical="center"/>
    </xf>
    <xf numFmtId="0" fontId="5" fillId="2" borderId="0" xfId="0" applyFont="1" applyFill="1" applyProtection="1">
      <protection locked="0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0" fillId="0" borderId="0" xfId="0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/>
    <xf numFmtId="0" fontId="10" fillId="0" borderId="3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1" applyFont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3:I31"/>
  <sheetViews>
    <sheetView tabSelected="1" topLeftCell="A10" zoomScaleNormal="100" workbookViewId="0">
      <selection activeCell="B15" sqref="B15"/>
    </sheetView>
  </sheetViews>
  <sheetFormatPr defaultRowHeight="15" x14ac:dyDescent="0.25"/>
  <cols>
    <col min="1" max="1" width="10.28515625" customWidth="1"/>
    <col min="2" max="2" width="11.5703125" customWidth="1"/>
    <col min="3" max="3" width="8" customWidth="1"/>
    <col min="4" max="4" width="27" customWidth="1"/>
    <col min="5" max="5" width="8.42578125" customWidth="1"/>
    <col min="6" max="6" width="7.7109375" customWidth="1"/>
    <col min="7" max="7" width="7" customWidth="1"/>
    <col min="8" max="8" width="8.28515625" customWidth="1"/>
  </cols>
  <sheetData>
    <row r="3" spans="1:9" ht="18.75" x14ac:dyDescent="0.3">
      <c r="A3" s="3"/>
      <c r="B3" s="3"/>
      <c r="C3" s="3"/>
      <c r="D3" s="3"/>
      <c r="G3" s="117" t="s">
        <v>19</v>
      </c>
      <c r="H3" s="117"/>
      <c r="I3" s="117"/>
    </row>
    <row r="4" spans="1:9" ht="15.75" x14ac:dyDescent="0.25">
      <c r="A4" s="3"/>
      <c r="B4" s="3"/>
      <c r="C4" s="3"/>
      <c r="D4" s="3"/>
      <c r="G4" s="118" t="s">
        <v>20</v>
      </c>
      <c r="H4" s="118"/>
      <c r="I4" s="118"/>
    </row>
    <row r="5" spans="1:9" ht="15.75" x14ac:dyDescent="0.25">
      <c r="A5" s="3"/>
      <c r="B5" s="3"/>
      <c r="C5" s="3"/>
      <c r="D5" s="3"/>
      <c r="G5" s="119" t="s">
        <v>21</v>
      </c>
      <c r="H5" s="119"/>
      <c r="I5" s="119"/>
    </row>
    <row r="6" spans="1:9" ht="15.75" x14ac:dyDescent="0.25">
      <c r="A6" s="3"/>
      <c r="B6" s="3"/>
      <c r="C6" s="3"/>
      <c r="D6" s="3"/>
      <c r="E6" s="35"/>
      <c r="F6" s="35"/>
    </row>
    <row r="7" spans="1:9" ht="15.75" x14ac:dyDescent="0.25">
      <c r="A7" s="3"/>
      <c r="B7" s="3"/>
      <c r="C7" s="3"/>
      <c r="D7" s="3"/>
      <c r="E7" s="35"/>
      <c r="F7" s="35"/>
    </row>
    <row r="8" spans="1:9" ht="15.75" x14ac:dyDescent="0.25">
      <c r="A8" s="3"/>
      <c r="B8" s="3"/>
      <c r="C8" s="3"/>
      <c r="D8" s="3"/>
      <c r="E8" s="3"/>
      <c r="F8" s="3"/>
      <c r="G8" s="3"/>
      <c r="H8" s="3"/>
    </row>
    <row r="9" spans="1:9" ht="15.75" x14ac:dyDescent="0.25">
      <c r="A9" s="4" t="s">
        <v>0</v>
      </c>
      <c r="B9" s="116" t="s">
        <v>15</v>
      </c>
      <c r="C9" s="116"/>
      <c r="D9" s="116"/>
      <c r="E9" s="6" t="s">
        <v>17</v>
      </c>
      <c r="F9" s="6">
        <v>3</v>
      </c>
      <c r="G9" s="5" t="s">
        <v>1</v>
      </c>
      <c r="H9" s="7"/>
    </row>
    <row r="10" spans="1:9" ht="7.5" customHeight="1" thickBot="1" x14ac:dyDescent="0.3">
      <c r="A10" s="3"/>
      <c r="B10" s="8"/>
      <c r="C10" s="8"/>
      <c r="D10" s="8"/>
      <c r="E10" s="8"/>
      <c r="F10" s="8"/>
      <c r="G10" s="8"/>
      <c r="H10" s="8"/>
    </row>
    <row r="11" spans="1:9" ht="32.25" thickBot="1" x14ac:dyDescent="0.3">
      <c r="A11" s="21" t="s">
        <v>2</v>
      </c>
      <c r="B11" s="22" t="s">
        <v>3</v>
      </c>
      <c r="C11" s="22" t="s">
        <v>13</v>
      </c>
      <c r="D11" s="22" t="s">
        <v>4</v>
      </c>
      <c r="E11" s="24" t="s">
        <v>14</v>
      </c>
      <c r="F11" s="23" t="s">
        <v>22</v>
      </c>
      <c r="G11" s="23" t="s">
        <v>23</v>
      </c>
      <c r="H11" s="30" t="s">
        <v>24</v>
      </c>
      <c r="I11" s="32" t="s">
        <v>25</v>
      </c>
    </row>
    <row r="12" spans="1:9" ht="31.5" x14ac:dyDescent="0.25">
      <c r="A12" s="9" t="s">
        <v>5</v>
      </c>
      <c r="B12" s="36" t="s">
        <v>6</v>
      </c>
      <c r="C12" s="40" t="s">
        <v>32</v>
      </c>
      <c r="D12" s="51" t="s">
        <v>33</v>
      </c>
      <c r="E12" s="25">
        <v>205</v>
      </c>
      <c r="F12" s="33">
        <f>6.04*E12/205</f>
        <v>6.04</v>
      </c>
      <c r="G12" s="34">
        <f>7.27*E12/205</f>
        <v>7.27</v>
      </c>
      <c r="H12" s="34">
        <f>34.29*E12/205</f>
        <v>34.29</v>
      </c>
      <c r="I12" s="34">
        <f>227.16*E12/205</f>
        <v>227.16000000000003</v>
      </c>
    </row>
    <row r="13" spans="1:9" ht="31.5" x14ac:dyDescent="0.25">
      <c r="A13" s="11"/>
      <c r="B13" s="37" t="s">
        <v>7</v>
      </c>
      <c r="C13" s="40" t="s">
        <v>34</v>
      </c>
      <c r="D13" s="52" t="s">
        <v>35</v>
      </c>
      <c r="E13" s="43">
        <v>200</v>
      </c>
      <c r="F13" s="44">
        <v>1.6</v>
      </c>
      <c r="G13" s="44">
        <v>1.1000000000000001</v>
      </c>
      <c r="H13" s="44">
        <v>8.6999999999999993</v>
      </c>
      <c r="I13" s="44">
        <v>50.9</v>
      </c>
    </row>
    <row r="14" spans="1:9" ht="15.75" x14ac:dyDescent="0.25">
      <c r="A14" s="11"/>
      <c r="C14" s="39" t="s">
        <v>36</v>
      </c>
      <c r="D14" s="2" t="s">
        <v>27</v>
      </c>
      <c r="E14" s="26">
        <v>8</v>
      </c>
      <c r="F14" s="33">
        <f>E14*0.1/10</f>
        <v>0.08</v>
      </c>
      <c r="G14" s="33">
        <f>E14*7.2/10</f>
        <v>5.76</v>
      </c>
      <c r="H14" s="33">
        <f>E14*0.1/10</f>
        <v>0.08</v>
      </c>
      <c r="I14" s="33">
        <f>E14*66/10</f>
        <v>52.8</v>
      </c>
    </row>
    <row r="15" spans="1:9" ht="15.75" x14ac:dyDescent="0.25">
      <c r="A15" s="11"/>
      <c r="B15" s="12" t="s">
        <v>12</v>
      </c>
      <c r="C15" s="48"/>
      <c r="D15" s="2" t="s">
        <v>28</v>
      </c>
      <c r="E15" s="26">
        <v>40</v>
      </c>
      <c r="F15" s="33">
        <f>E15*6.9/100</f>
        <v>2.76</v>
      </c>
      <c r="G15" s="34">
        <f>1*E15/100</f>
        <v>0.4</v>
      </c>
      <c r="H15" s="34">
        <f>E15*48.3/100</f>
        <v>19.32</v>
      </c>
      <c r="I15" s="34">
        <f>E15*235/100</f>
        <v>94</v>
      </c>
    </row>
    <row r="16" spans="1:9" ht="16.5" thickBot="1" x14ac:dyDescent="0.3">
      <c r="A16" s="14"/>
      <c r="B16" s="15"/>
      <c r="C16" s="48" t="s">
        <v>29</v>
      </c>
      <c r="D16" s="2" t="s">
        <v>37</v>
      </c>
      <c r="E16" s="26">
        <v>200</v>
      </c>
      <c r="F16" s="34">
        <f>E16*1.5/100</f>
        <v>3</v>
      </c>
      <c r="G16" s="34">
        <f>E16*0.5/100</f>
        <v>1</v>
      </c>
      <c r="H16" s="34">
        <f>E16*21/100</f>
        <v>42</v>
      </c>
      <c r="I16" s="34">
        <f>E16*89/100</f>
        <v>178</v>
      </c>
    </row>
    <row r="17" spans="1:9" ht="15.75" x14ac:dyDescent="0.25">
      <c r="A17" s="11"/>
      <c r="B17" s="38"/>
      <c r="C17" s="45"/>
      <c r="D17" s="2"/>
      <c r="E17" s="26"/>
      <c r="F17" s="34"/>
      <c r="G17" s="34"/>
      <c r="H17" s="34"/>
      <c r="I17" s="34"/>
    </row>
    <row r="18" spans="1:9" ht="16.5" thickBot="1" x14ac:dyDescent="0.3">
      <c r="A18" s="11"/>
      <c r="B18" s="38"/>
      <c r="C18" s="45"/>
      <c r="D18" s="2"/>
      <c r="E18" s="26"/>
      <c r="F18" s="34"/>
      <c r="G18" s="34"/>
      <c r="H18" s="34"/>
      <c r="I18" s="34"/>
    </row>
    <row r="19" spans="1:9" ht="31.5" x14ac:dyDescent="0.25">
      <c r="A19" s="9" t="s">
        <v>18</v>
      </c>
      <c r="B19" s="10"/>
      <c r="C19" s="40" t="s">
        <v>38</v>
      </c>
      <c r="D19" s="46" t="s">
        <v>39</v>
      </c>
      <c r="E19" s="42">
        <v>200</v>
      </c>
      <c r="F19" s="42">
        <v>1.36</v>
      </c>
      <c r="G19" s="42">
        <v>0</v>
      </c>
      <c r="H19" s="42">
        <v>29.02</v>
      </c>
      <c r="I19" s="42">
        <v>116.9</v>
      </c>
    </row>
    <row r="20" spans="1:9" ht="15.75" x14ac:dyDescent="0.25">
      <c r="A20" s="16"/>
      <c r="B20" s="17"/>
      <c r="C20" s="48" t="s">
        <v>40</v>
      </c>
      <c r="D20" s="53" t="s">
        <v>41</v>
      </c>
      <c r="E20" s="43">
        <v>50</v>
      </c>
      <c r="F20" s="44">
        <f>4.61*E20/60</f>
        <v>3.8416666666666672</v>
      </c>
      <c r="G20" s="44">
        <f>4.41*E20/60</f>
        <v>3.6749999999999998</v>
      </c>
      <c r="H20" s="44">
        <f>35.3*E20/60</f>
        <v>29.416666666666664</v>
      </c>
      <c r="I20" s="44">
        <f>199.3*E20/60</f>
        <v>166.08333333333334</v>
      </c>
    </row>
    <row r="21" spans="1:9" ht="16.5" thickBot="1" x14ac:dyDescent="0.3">
      <c r="A21" s="14"/>
      <c r="B21" s="15"/>
      <c r="C21" s="54"/>
      <c r="D21" s="2" t="s">
        <v>42</v>
      </c>
      <c r="E21" s="26">
        <v>100</v>
      </c>
      <c r="F21" s="26">
        <v>3.4</v>
      </c>
      <c r="G21" s="26">
        <v>2.5</v>
      </c>
      <c r="H21" s="26">
        <v>14.4</v>
      </c>
      <c r="I21" s="26">
        <v>85</v>
      </c>
    </row>
    <row r="22" spans="1:9" ht="15.75" x14ac:dyDescent="0.25">
      <c r="A22" s="11"/>
      <c r="B22" s="38"/>
      <c r="C22" s="54"/>
      <c r="D22" s="2"/>
      <c r="E22" s="26"/>
      <c r="F22" s="26"/>
      <c r="G22" s="26"/>
      <c r="H22" s="26"/>
      <c r="I22" s="26"/>
    </row>
    <row r="23" spans="1:9" ht="15.75" x14ac:dyDescent="0.25">
      <c r="A23" s="55" t="s">
        <v>8</v>
      </c>
      <c r="B23" s="41" t="s">
        <v>9</v>
      </c>
      <c r="C23" s="39" t="s">
        <v>43</v>
      </c>
      <c r="D23" s="2" t="s">
        <v>44</v>
      </c>
      <c r="E23" s="26">
        <v>100</v>
      </c>
      <c r="F23" s="33">
        <f>E23*0.72/100</f>
        <v>0.72</v>
      </c>
      <c r="G23" s="33">
        <f>E23*10.08/100</f>
        <v>10.08</v>
      </c>
      <c r="H23" s="33">
        <f>E23*3/100</f>
        <v>3</v>
      </c>
      <c r="I23" s="33">
        <f>E23*103.6/100</f>
        <v>103.6</v>
      </c>
    </row>
    <row r="24" spans="1:9" ht="15.75" x14ac:dyDescent="0.25">
      <c r="A24" s="11"/>
      <c r="B24" s="27" t="s">
        <v>10</v>
      </c>
      <c r="C24" s="49" t="s">
        <v>45</v>
      </c>
      <c r="D24" s="50" t="s">
        <v>46</v>
      </c>
      <c r="E24" s="56">
        <v>250</v>
      </c>
      <c r="F24" s="57">
        <f>E24*2.34/250</f>
        <v>2.34</v>
      </c>
      <c r="G24" s="57">
        <f>E24*3.89/250</f>
        <v>3.89</v>
      </c>
      <c r="H24" s="57">
        <f>E24*13.61/250</f>
        <v>13.61</v>
      </c>
      <c r="I24" s="57">
        <f>E24*98.79/250</f>
        <v>98.79</v>
      </c>
    </row>
    <row r="25" spans="1:9" ht="15.75" x14ac:dyDescent="0.25">
      <c r="A25" s="11"/>
      <c r="B25" s="28" t="s">
        <v>11</v>
      </c>
      <c r="C25" s="39" t="s">
        <v>47</v>
      </c>
      <c r="D25" s="2" t="s">
        <v>48</v>
      </c>
      <c r="E25" s="26">
        <v>200</v>
      </c>
      <c r="F25" s="34">
        <f>15.38*E25/175</f>
        <v>17.577142857142857</v>
      </c>
      <c r="G25" s="34">
        <f>19.59*E25/175</f>
        <v>22.388571428571428</v>
      </c>
      <c r="H25" s="34">
        <f>18.2*E25/175</f>
        <v>20.8</v>
      </c>
      <c r="I25" s="34">
        <f>308.58*E25/175</f>
        <v>352.66285714285715</v>
      </c>
    </row>
    <row r="26" spans="1:9" ht="15.75" x14ac:dyDescent="0.25">
      <c r="A26" s="11"/>
      <c r="B26" s="29" t="s">
        <v>16</v>
      </c>
      <c r="C26" s="39" t="s">
        <v>49</v>
      </c>
      <c r="D26" s="2" t="s">
        <v>50</v>
      </c>
      <c r="E26" s="26">
        <v>200</v>
      </c>
      <c r="F26" s="26">
        <v>0.1</v>
      </c>
      <c r="G26" s="26">
        <v>0.1</v>
      </c>
      <c r="H26" s="26">
        <v>7.9</v>
      </c>
      <c r="I26" s="26">
        <v>32.700000000000003</v>
      </c>
    </row>
    <row r="27" spans="1:9" ht="15.75" x14ac:dyDescent="0.25">
      <c r="A27" s="11"/>
      <c r="B27" s="12"/>
      <c r="C27" s="58"/>
      <c r="D27" s="2" t="s">
        <v>30</v>
      </c>
      <c r="E27" s="26">
        <v>50</v>
      </c>
      <c r="F27" s="33">
        <f>E27*6.9/100</f>
        <v>3.45</v>
      </c>
      <c r="G27" s="34">
        <f>1*E27/100</f>
        <v>0.5</v>
      </c>
      <c r="H27" s="34">
        <f>E27*48.3/100</f>
        <v>24.15</v>
      </c>
      <c r="I27" s="34">
        <f>E27*235/100</f>
        <v>117.5</v>
      </c>
    </row>
    <row r="28" spans="1:9" ht="15.75" x14ac:dyDescent="0.25">
      <c r="A28" s="11"/>
      <c r="B28" s="18"/>
      <c r="C28" s="58"/>
      <c r="D28" s="2" t="s">
        <v>31</v>
      </c>
      <c r="E28" s="26">
        <v>50</v>
      </c>
      <c r="F28" s="33">
        <f>E28*4.8/100</f>
        <v>2.4</v>
      </c>
      <c r="G28" s="34">
        <f>E28*1/100</f>
        <v>0.5</v>
      </c>
      <c r="H28" s="34">
        <f>E28*21.2/50</f>
        <v>21.2</v>
      </c>
      <c r="I28" s="34">
        <f>E28*100/50</f>
        <v>100</v>
      </c>
    </row>
    <row r="29" spans="1:9" ht="15.75" x14ac:dyDescent="0.25">
      <c r="A29" s="11"/>
    </row>
    <row r="30" spans="1:9" ht="15.75" x14ac:dyDescent="0.25">
      <c r="A30" s="11"/>
      <c r="B30" s="13"/>
      <c r="C30" s="13"/>
      <c r="D30" s="18"/>
      <c r="E30" s="18"/>
      <c r="F30" s="19"/>
      <c r="G30" s="19"/>
      <c r="H30" s="31"/>
      <c r="I30" s="1"/>
    </row>
    <row r="31" spans="1:9" ht="15.75" x14ac:dyDescent="0.25">
      <c r="A31" s="20"/>
      <c r="B31" s="18"/>
      <c r="C31" s="18"/>
      <c r="D31" s="18"/>
      <c r="E31" s="18"/>
      <c r="F31" s="18"/>
      <c r="G31" s="18"/>
      <c r="H31" s="20"/>
      <c r="I31" s="1"/>
    </row>
  </sheetData>
  <mergeCells count="4">
    <mergeCell ref="B9:D9"/>
    <mergeCell ref="G3:I3"/>
    <mergeCell ref="G4:I4"/>
    <mergeCell ref="G5:I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1"/>
  <sheetViews>
    <sheetView topLeftCell="A7" workbookViewId="0">
      <selection activeCell="L13" sqref="L13"/>
    </sheetView>
  </sheetViews>
  <sheetFormatPr defaultRowHeight="15" x14ac:dyDescent="0.25"/>
  <cols>
    <col min="3" max="3" width="6.85546875" customWidth="1"/>
    <col min="4" max="4" width="26.5703125" customWidth="1"/>
    <col min="5" max="5" width="7.7109375" customWidth="1"/>
    <col min="8" max="8" width="11.28515625" bestFit="1" customWidth="1"/>
  </cols>
  <sheetData>
    <row r="3" spans="1:9" ht="18.75" x14ac:dyDescent="0.3">
      <c r="A3" s="3"/>
      <c r="B3" s="3"/>
      <c r="C3" s="3"/>
      <c r="D3" s="3"/>
      <c r="G3" s="117" t="s">
        <v>19</v>
      </c>
      <c r="H3" s="117"/>
      <c r="I3" s="117"/>
    </row>
    <row r="4" spans="1:9" ht="15.75" x14ac:dyDescent="0.25">
      <c r="A4" s="3"/>
      <c r="B4" s="3"/>
      <c r="C4" s="3"/>
      <c r="D4" s="3"/>
      <c r="G4" s="118" t="s">
        <v>20</v>
      </c>
      <c r="H4" s="118"/>
      <c r="I4" s="118"/>
    </row>
    <row r="5" spans="1:9" ht="19.5" customHeight="1" x14ac:dyDescent="0.25">
      <c r="A5" s="3"/>
      <c r="B5" s="3"/>
      <c r="C5" s="3"/>
      <c r="D5" s="3"/>
      <c r="G5" s="119" t="s">
        <v>21</v>
      </c>
      <c r="H5" s="119"/>
      <c r="I5" s="119"/>
    </row>
    <row r="6" spans="1:9" ht="15.75" x14ac:dyDescent="0.25">
      <c r="A6" s="3"/>
      <c r="B6" s="3"/>
      <c r="C6" s="3"/>
      <c r="D6" s="3"/>
      <c r="E6" s="35"/>
      <c r="F6" s="35"/>
    </row>
    <row r="7" spans="1:9" ht="28.5" customHeight="1" x14ac:dyDescent="0.25">
      <c r="A7" s="3"/>
      <c r="B7" s="3"/>
      <c r="C7" s="3"/>
      <c r="D7" s="3"/>
      <c r="E7" s="35"/>
      <c r="F7" s="35"/>
    </row>
    <row r="8" spans="1:9" ht="15.75" x14ac:dyDescent="0.25">
      <c r="A8" s="3"/>
      <c r="B8" s="3"/>
      <c r="C8" s="3"/>
      <c r="D8" s="3"/>
      <c r="E8" s="3"/>
      <c r="F8" s="3"/>
      <c r="G8" s="3"/>
      <c r="H8" s="3"/>
    </row>
    <row r="9" spans="1:9" ht="15.75" x14ac:dyDescent="0.25">
      <c r="A9" s="4" t="s">
        <v>0</v>
      </c>
      <c r="B9" s="116" t="s">
        <v>15</v>
      </c>
      <c r="C9" s="116"/>
      <c r="D9" s="116"/>
      <c r="E9" s="120" t="s">
        <v>26</v>
      </c>
      <c r="F9" s="120"/>
      <c r="G9" s="120"/>
      <c r="H9" s="59">
        <v>3</v>
      </c>
      <c r="I9" s="60" t="s">
        <v>51</v>
      </c>
    </row>
    <row r="10" spans="1:9" ht="20.25" customHeight="1" thickBot="1" x14ac:dyDescent="0.3">
      <c r="A10" s="3"/>
      <c r="B10" s="8"/>
      <c r="C10" s="8"/>
      <c r="D10" s="8"/>
      <c r="E10" s="8"/>
      <c r="F10" s="8"/>
      <c r="G10" s="8"/>
      <c r="H10" s="8"/>
    </row>
    <row r="11" spans="1:9" ht="28.5" customHeight="1" x14ac:dyDescent="0.25">
      <c r="A11" s="21" t="s">
        <v>2</v>
      </c>
      <c r="B11" s="22" t="s">
        <v>3</v>
      </c>
      <c r="C11" s="22" t="s">
        <v>13</v>
      </c>
      <c r="D11" s="22" t="s">
        <v>4</v>
      </c>
      <c r="E11" s="24" t="s">
        <v>14</v>
      </c>
      <c r="F11" s="23" t="s">
        <v>22</v>
      </c>
      <c r="G11" s="23" t="s">
        <v>23</v>
      </c>
      <c r="H11" s="30" t="s">
        <v>24</v>
      </c>
      <c r="I11" s="32" t="s">
        <v>25</v>
      </c>
    </row>
    <row r="12" spans="1:9" ht="15.75" x14ac:dyDescent="0.25">
      <c r="A12" s="11"/>
      <c r="B12" s="38"/>
      <c r="C12" s="54"/>
      <c r="D12" s="2"/>
      <c r="E12" s="26"/>
      <c r="F12" s="26"/>
      <c r="G12" s="26"/>
      <c r="H12" s="26"/>
      <c r="I12" s="26"/>
    </row>
    <row r="13" spans="1:9" ht="15.75" x14ac:dyDescent="0.25">
      <c r="A13" s="55" t="s">
        <v>8</v>
      </c>
      <c r="B13" s="41" t="s">
        <v>9</v>
      </c>
      <c r="C13" s="39" t="s">
        <v>43</v>
      </c>
      <c r="D13" s="2" t="s">
        <v>44</v>
      </c>
      <c r="E13" s="26">
        <v>120</v>
      </c>
      <c r="F13" s="33">
        <f>E13*0.72/100</f>
        <v>0.86399999999999988</v>
      </c>
      <c r="G13" s="33">
        <f>E13*10.08/100</f>
        <v>12.095999999999998</v>
      </c>
      <c r="H13" s="33">
        <f>E13*3/100</f>
        <v>3.6</v>
      </c>
      <c r="I13" s="33">
        <f>E13*103.6/100</f>
        <v>124.32</v>
      </c>
    </row>
    <row r="14" spans="1:9" ht="31.5" x14ac:dyDescent="0.25">
      <c r="A14" s="11"/>
      <c r="B14" s="27" t="s">
        <v>10</v>
      </c>
      <c r="C14" s="64" t="s">
        <v>45</v>
      </c>
      <c r="D14" s="61" t="s">
        <v>52</v>
      </c>
      <c r="E14" s="62">
        <v>300</v>
      </c>
      <c r="F14" s="63">
        <f>E14*2.34/250</f>
        <v>2.8079999999999998</v>
      </c>
      <c r="G14" s="63">
        <f>E14*3.89/250</f>
        <v>4.6680000000000001</v>
      </c>
      <c r="H14" s="63">
        <f>E14*13.61/250</f>
        <v>16.332000000000001</v>
      </c>
      <c r="I14" s="63">
        <f>E14*98.79/250</f>
        <v>118.54800000000002</v>
      </c>
    </row>
    <row r="15" spans="1:9" ht="15.75" x14ac:dyDescent="0.25">
      <c r="A15" s="11"/>
      <c r="B15" s="28" t="s">
        <v>11</v>
      </c>
      <c r="C15" s="39" t="s">
        <v>47</v>
      </c>
      <c r="D15" s="2" t="s">
        <v>48</v>
      </c>
      <c r="E15" s="42">
        <v>230</v>
      </c>
      <c r="F15" s="47">
        <f>15.38*E15/175</f>
        <v>20.213714285714286</v>
      </c>
      <c r="G15" s="47">
        <f>19.59*E15/175</f>
        <v>25.746857142857142</v>
      </c>
      <c r="H15" s="47">
        <f>18.2*E15/175</f>
        <v>23.92</v>
      </c>
      <c r="I15" s="47">
        <f>308.58*E15/175</f>
        <v>405.56228571428568</v>
      </c>
    </row>
    <row r="16" spans="1:9" ht="15.75" x14ac:dyDescent="0.25">
      <c r="A16" s="11"/>
      <c r="B16" s="29" t="s">
        <v>16</v>
      </c>
      <c r="C16" s="39" t="s">
        <v>49</v>
      </c>
      <c r="D16" s="2" t="s">
        <v>50</v>
      </c>
      <c r="E16" s="26">
        <v>200</v>
      </c>
      <c r="F16" s="26">
        <v>0.1</v>
      </c>
      <c r="G16" s="26">
        <v>0.1</v>
      </c>
      <c r="H16" s="26">
        <v>7.9</v>
      </c>
      <c r="I16" s="26">
        <v>32.700000000000003</v>
      </c>
    </row>
    <row r="17" spans="1:9" ht="15.75" x14ac:dyDescent="0.25">
      <c r="A17" s="11"/>
      <c r="B17" s="12"/>
      <c r="C17" s="58"/>
      <c r="D17" s="2" t="s">
        <v>30</v>
      </c>
      <c r="E17" s="26">
        <v>50</v>
      </c>
      <c r="F17" s="33">
        <f>E17*6.9/100</f>
        <v>3.45</v>
      </c>
      <c r="G17" s="34">
        <f>1*E17/100</f>
        <v>0.5</v>
      </c>
      <c r="H17" s="34">
        <f>E17*48.3/100</f>
        <v>24.15</v>
      </c>
      <c r="I17" s="34">
        <f>E17*235/100</f>
        <v>117.5</v>
      </c>
    </row>
    <row r="18" spans="1:9" ht="15.75" x14ac:dyDescent="0.25">
      <c r="A18" s="11"/>
      <c r="B18" s="18"/>
      <c r="C18" s="58"/>
      <c r="D18" s="2" t="s">
        <v>31</v>
      </c>
      <c r="E18" s="26">
        <v>70</v>
      </c>
      <c r="F18" s="33">
        <f>E18*4.8/100</f>
        <v>3.36</v>
      </c>
      <c r="G18" s="34">
        <f>E18*1/100</f>
        <v>0.7</v>
      </c>
      <c r="H18" s="34">
        <f>E18*21.2/50</f>
        <v>29.68</v>
      </c>
      <c r="I18" s="34">
        <f>E18*100/50</f>
        <v>140</v>
      </c>
    </row>
    <row r="19" spans="1:9" ht="31.5" x14ac:dyDescent="0.25">
      <c r="A19" s="126" t="s">
        <v>64</v>
      </c>
      <c r="B19" s="1"/>
      <c r="C19" s="40" t="s">
        <v>38</v>
      </c>
      <c r="D19" s="46" t="s">
        <v>39</v>
      </c>
      <c r="E19" s="42">
        <v>200</v>
      </c>
      <c r="F19" s="42">
        <v>1.36</v>
      </c>
      <c r="G19" s="42">
        <v>0</v>
      </c>
      <c r="H19" s="42">
        <v>29.02</v>
      </c>
      <c r="I19" s="42">
        <v>116.9</v>
      </c>
    </row>
    <row r="20" spans="1:9" ht="15.75" x14ac:dyDescent="0.25">
      <c r="B20" s="1"/>
      <c r="C20" s="71" t="s">
        <v>40</v>
      </c>
      <c r="D20" s="127" t="s">
        <v>41</v>
      </c>
      <c r="E20" s="128">
        <v>60</v>
      </c>
      <c r="F20" s="129">
        <f>4.61*E20/60</f>
        <v>4.6100000000000003</v>
      </c>
      <c r="G20" s="129">
        <f>4.41*E20/60</f>
        <v>4.41</v>
      </c>
      <c r="H20" s="129">
        <f>35.3*E20/60</f>
        <v>35.299999999999997</v>
      </c>
      <c r="I20" s="129">
        <f>199.3*E20/60</f>
        <v>199.3</v>
      </c>
    </row>
    <row r="21" spans="1:9" ht="15.75" x14ac:dyDescent="0.25">
      <c r="B21" s="1"/>
      <c r="C21" s="130"/>
      <c r="D21" s="52" t="s">
        <v>42</v>
      </c>
      <c r="E21" s="42">
        <v>100</v>
      </c>
      <c r="F21" s="42">
        <v>3.4</v>
      </c>
      <c r="G21" s="42">
        <v>2.5</v>
      </c>
      <c r="H21" s="42">
        <v>14.4</v>
      </c>
      <c r="I21" s="42">
        <v>85</v>
      </c>
    </row>
  </sheetData>
  <mergeCells count="5">
    <mergeCell ref="B9:D9"/>
    <mergeCell ref="G3:I3"/>
    <mergeCell ref="G4:I4"/>
    <mergeCell ref="G5:I5"/>
    <mergeCell ref="E9:G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451C-735A-4837-BC1E-C6A720E362E1}">
  <dimension ref="A1:J28"/>
  <sheetViews>
    <sheetView workbookViewId="0">
      <selection activeCell="D18" sqref="D18"/>
    </sheetView>
  </sheetViews>
  <sheetFormatPr defaultRowHeight="15" x14ac:dyDescent="0.25"/>
  <cols>
    <col min="3" max="3" width="6.5703125" customWidth="1"/>
    <col min="4" max="4" width="23.28515625" customWidth="1"/>
    <col min="5" max="5" width="7.140625" customWidth="1"/>
    <col min="6" max="6" width="6.7109375" customWidth="1"/>
    <col min="7" max="7" width="5.85546875" customWidth="1"/>
    <col min="8" max="8" width="7.140625" customWidth="1"/>
  </cols>
  <sheetData>
    <row r="1" spans="1:10" x14ac:dyDescent="0.25">
      <c r="A1" s="123" t="s">
        <v>15</v>
      </c>
      <c r="B1" s="123"/>
      <c r="C1" s="123"/>
      <c r="D1" s="123"/>
      <c r="E1" s="123"/>
      <c r="F1" s="123"/>
      <c r="G1" s="123"/>
      <c r="H1" s="123"/>
      <c r="I1" s="123"/>
    </row>
    <row r="3" spans="1:10" ht="18.75" x14ac:dyDescent="0.3">
      <c r="A3" s="3"/>
      <c r="B3" s="3"/>
      <c r="C3" s="3"/>
      <c r="D3" s="3"/>
      <c r="G3" s="117" t="s">
        <v>19</v>
      </c>
      <c r="H3" s="117"/>
      <c r="I3" s="117"/>
    </row>
    <row r="4" spans="1:10" ht="15.75" x14ac:dyDescent="0.25">
      <c r="A4" s="3"/>
      <c r="B4" s="3"/>
      <c r="C4" s="3"/>
      <c r="D4" s="3"/>
      <c r="G4" s="118" t="s">
        <v>20</v>
      </c>
      <c r="H4" s="118"/>
      <c r="I4" s="118"/>
    </row>
    <row r="5" spans="1:10" ht="15.75" x14ac:dyDescent="0.25">
      <c r="A5" s="3"/>
      <c r="B5" s="3"/>
      <c r="C5" s="3"/>
      <c r="D5" s="3"/>
      <c r="G5" s="119" t="s">
        <v>21</v>
      </c>
      <c r="H5" s="119"/>
      <c r="I5" s="119"/>
    </row>
    <row r="6" spans="1:10" ht="15.75" x14ac:dyDescent="0.25">
      <c r="A6" s="3"/>
      <c r="B6" s="3"/>
      <c r="C6" s="3"/>
      <c r="D6" s="3"/>
      <c r="E6" s="35"/>
      <c r="F6" s="35"/>
    </row>
    <row r="7" spans="1:10" ht="15.75" x14ac:dyDescent="0.25">
      <c r="A7" s="121" t="s">
        <v>53</v>
      </c>
      <c r="B7" s="122"/>
      <c r="C7" s="122"/>
      <c r="D7" s="122"/>
      <c r="E7" s="35"/>
      <c r="F7" s="35"/>
      <c r="H7" s="124" t="s">
        <v>54</v>
      </c>
      <c r="I7" s="124"/>
    </row>
    <row r="8" spans="1:10" ht="15.75" x14ac:dyDescent="0.25">
      <c r="A8" s="3"/>
      <c r="B8" s="3"/>
      <c r="C8" s="3"/>
      <c r="D8" s="3"/>
      <c r="E8" s="3"/>
      <c r="F8" s="3"/>
      <c r="G8" s="3"/>
      <c r="H8" s="3"/>
    </row>
    <row r="9" spans="1:10" ht="15.75" x14ac:dyDescent="0.25">
      <c r="A9" s="121"/>
      <c r="B9" s="122"/>
      <c r="C9" s="122"/>
      <c r="D9" s="122"/>
      <c r="E9" s="120" t="s">
        <v>55</v>
      </c>
      <c r="F9" s="122"/>
      <c r="G9" s="122"/>
      <c r="H9" s="59">
        <v>3</v>
      </c>
      <c r="I9" t="s">
        <v>1</v>
      </c>
    </row>
    <row r="10" spans="1:10" ht="16.5" thickBot="1" x14ac:dyDescent="0.3">
      <c r="A10" s="3"/>
      <c r="B10" s="8"/>
      <c r="C10" s="8"/>
      <c r="D10" s="8"/>
      <c r="E10" s="8"/>
      <c r="F10" s="8"/>
      <c r="G10" s="8"/>
      <c r="H10" s="8"/>
    </row>
    <row r="11" spans="1:10" ht="32.25" thickBot="1" x14ac:dyDescent="0.3">
      <c r="A11" s="21" t="s">
        <v>2</v>
      </c>
      <c r="B11" s="22" t="s">
        <v>3</v>
      </c>
      <c r="C11" s="65" t="s">
        <v>13</v>
      </c>
      <c r="D11" s="22" t="s">
        <v>4</v>
      </c>
      <c r="E11" s="24" t="s">
        <v>14</v>
      </c>
      <c r="F11" s="23" t="s">
        <v>22</v>
      </c>
      <c r="G11" s="23" t="s">
        <v>23</v>
      </c>
      <c r="H11" s="30" t="s">
        <v>24</v>
      </c>
      <c r="I11" s="32" t="s">
        <v>25</v>
      </c>
      <c r="J11" s="1"/>
    </row>
    <row r="12" spans="1:10" ht="30" x14ac:dyDescent="0.25">
      <c r="A12" s="66" t="s">
        <v>5</v>
      </c>
      <c r="B12" s="67" t="s">
        <v>6</v>
      </c>
      <c r="C12" s="112" t="s">
        <v>65</v>
      </c>
      <c r="D12" s="106" t="s">
        <v>33</v>
      </c>
      <c r="E12" s="107">
        <v>130</v>
      </c>
      <c r="F12" s="72">
        <f>E12*38.97/1000</f>
        <v>5.0660999999999996</v>
      </c>
      <c r="G12" s="74">
        <f>E12*49.48/1000</f>
        <v>6.4323999999999995</v>
      </c>
      <c r="H12" s="74">
        <f>E12*179.55/1000</f>
        <v>23.3415</v>
      </c>
      <c r="I12" s="74">
        <f>E12*1334.47/1000</f>
        <v>173.4811</v>
      </c>
    </row>
    <row r="13" spans="1:10" ht="30" x14ac:dyDescent="0.25">
      <c r="A13" s="11"/>
      <c r="B13" s="69" t="s">
        <v>7</v>
      </c>
      <c r="C13" s="112" t="s">
        <v>67</v>
      </c>
      <c r="D13" s="106" t="s">
        <v>66</v>
      </c>
      <c r="E13" s="109">
        <v>150</v>
      </c>
      <c r="F13" s="110">
        <f>E13*1.45/200</f>
        <v>1.0874999999999999</v>
      </c>
      <c r="G13" s="110">
        <f>E13*1.25/200</f>
        <v>0.9375</v>
      </c>
      <c r="H13" s="110">
        <f>E13*17.44/200</f>
        <v>13.08</v>
      </c>
      <c r="I13" s="110">
        <f>E13*87.12/200</f>
        <v>65.34</v>
      </c>
    </row>
    <row r="14" spans="1:10" ht="15.75" x14ac:dyDescent="0.25">
      <c r="A14" s="11"/>
      <c r="B14" s="70" t="s">
        <v>12</v>
      </c>
      <c r="C14" s="113" t="s">
        <v>56</v>
      </c>
      <c r="D14" s="111" t="s">
        <v>57</v>
      </c>
      <c r="E14" s="71">
        <v>2</v>
      </c>
      <c r="F14" s="72">
        <f>E14*0.5/100</f>
        <v>0.01</v>
      </c>
      <c r="G14" s="72">
        <f>E14*82.5/100</f>
        <v>1.65</v>
      </c>
      <c r="H14" s="72">
        <f>E14*0.8/100</f>
        <v>1.6E-2</v>
      </c>
      <c r="I14" s="72">
        <f>E14*748/100</f>
        <v>14.96</v>
      </c>
    </row>
    <row r="15" spans="1:10" ht="15.75" x14ac:dyDescent="0.25">
      <c r="A15" s="11"/>
      <c r="B15" s="73"/>
      <c r="C15" s="113" t="s">
        <v>58</v>
      </c>
      <c r="D15" s="111" t="s">
        <v>59</v>
      </c>
      <c r="E15" s="71">
        <v>13</v>
      </c>
      <c r="F15" s="72">
        <f>E15*7.6/100</f>
        <v>0.98799999999999999</v>
      </c>
      <c r="G15" s="74">
        <f>E15*0.8/100</f>
        <v>0.10400000000000001</v>
      </c>
      <c r="H15" s="74">
        <f>E15*49.2/100</f>
        <v>6.3959999999999999</v>
      </c>
      <c r="I15" s="74">
        <f>E15*235/100</f>
        <v>30.55</v>
      </c>
    </row>
    <row r="16" spans="1:10" ht="15.75" x14ac:dyDescent="0.25">
      <c r="A16" s="11"/>
      <c r="B16" s="73"/>
      <c r="C16" s="75"/>
      <c r="D16" s="2"/>
      <c r="E16" s="26"/>
      <c r="F16" s="34"/>
      <c r="G16" s="34"/>
      <c r="H16" s="34"/>
      <c r="I16" s="34"/>
      <c r="J16" s="1"/>
    </row>
    <row r="17" spans="1:10" ht="15.75" x14ac:dyDescent="0.25">
      <c r="A17" s="76" t="s">
        <v>60</v>
      </c>
      <c r="B17" s="77"/>
      <c r="C17" s="78" t="s">
        <v>69</v>
      </c>
      <c r="D17" s="99" t="s">
        <v>68</v>
      </c>
      <c r="E17" s="48">
        <v>85</v>
      </c>
      <c r="F17" s="79">
        <f>E17*1.5/100</f>
        <v>1.2749999999999999</v>
      </c>
      <c r="G17" s="79">
        <f>E17*0.1/100</f>
        <v>8.5000000000000006E-2</v>
      </c>
      <c r="H17" s="79">
        <f>E17*21/100</f>
        <v>17.850000000000001</v>
      </c>
      <c r="I17" s="79">
        <f>E17*89/100</f>
        <v>75.650000000000006</v>
      </c>
      <c r="J17" s="90"/>
    </row>
    <row r="18" spans="1:10" ht="16.5" thickBot="1" x14ac:dyDescent="0.3">
      <c r="A18" s="14"/>
      <c r="B18" s="15"/>
      <c r="C18" s="80"/>
      <c r="D18" s="81"/>
      <c r="E18" s="82"/>
      <c r="F18" s="83"/>
      <c r="G18" s="83"/>
      <c r="H18" s="84"/>
      <c r="I18" s="85"/>
      <c r="J18" s="1"/>
    </row>
    <row r="19" spans="1:10" ht="41.25" customHeight="1" x14ac:dyDescent="0.25">
      <c r="A19" s="55" t="s">
        <v>8</v>
      </c>
      <c r="B19" s="86" t="s">
        <v>9</v>
      </c>
      <c r="C19" s="87" t="s">
        <v>70</v>
      </c>
      <c r="D19" s="111" t="s">
        <v>44</v>
      </c>
      <c r="E19" s="71">
        <v>40</v>
      </c>
      <c r="F19" s="72">
        <f>E19*0.73/100</f>
        <v>0.29199999999999998</v>
      </c>
      <c r="G19" s="72">
        <f>E19*10.1/100</f>
        <v>4.04</v>
      </c>
      <c r="H19" s="72">
        <f>E19*2.28/100</f>
        <v>0.91199999999999992</v>
      </c>
      <c r="I19" s="72">
        <f>E19*102.64/100</f>
        <v>41.056000000000004</v>
      </c>
      <c r="J19" s="108"/>
    </row>
    <row r="20" spans="1:10" ht="15.75" x14ac:dyDescent="0.25">
      <c r="A20" s="11"/>
      <c r="B20" s="27" t="s">
        <v>10</v>
      </c>
      <c r="C20" s="91" t="s">
        <v>72</v>
      </c>
      <c r="D20" s="99" t="s">
        <v>71</v>
      </c>
      <c r="E20" s="100">
        <v>180</v>
      </c>
      <c r="F20" s="97">
        <f>E20*9.17/1000</f>
        <v>1.6505999999999998</v>
      </c>
      <c r="G20" s="97">
        <f>E20*17.86/1000</f>
        <v>3.2147999999999999</v>
      </c>
      <c r="H20" s="97">
        <f>E20*39.71/1000</f>
        <v>7.1478000000000002</v>
      </c>
      <c r="I20" s="97">
        <f>E20*402.06/1000</f>
        <v>72.370800000000003</v>
      </c>
      <c r="J20" s="90"/>
    </row>
    <row r="21" spans="1:10" ht="15.75" x14ac:dyDescent="0.25">
      <c r="A21" s="11"/>
      <c r="B21" s="28" t="s">
        <v>11</v>
      </c>
      <c r="C21" s="91" t="s">
        <v>73</v>
      </c>
      <c r="D21" s="99" t="s">
        <v>48</v>
      </c>
      <c r="E21" s="48">
        <v>170</v>
      </c>
      <c r="F21" s="79">
        <f>E21*10.4/175</f>
        <v>10.102857142857143</v>
      </c>
      <c r="G21" s="79">
        <f>E21*12.662/175</f>
        <v>12.300228571428571</v>
      </c>
      <c r="H21" s="79">
        <f>E21*16.44/175</f>
        <v>15.970285714285716</v>
      </c>
      <c r="I21" s="79">
        <f>E21*229.02/175</f>
        <v>222.47657142857145</v>
      </c>
      <c r="J21" s="90"/>
    </row>
    <row r="22" spans="1:10" ht="15.75" x14ac:dyDescent="0.25">
      <c r="A22" s="11"/>
      <c r="B22" s="28"/>
      <c r="C22" s="91"/>
      <c r="D22" s="93"/>
      <c r="E22" s="94"/>
      <c r="F22" s="95"/>
      <c r="G22" s="95"/>
      <c r="H22" s="95"/>
      <c r="I22" s="95"/>
      <c r="J22" s="92"/>
    </row>
    <row r="23" spans="1:10" ht="34.5" customHeight="1" x14ac:dyDescent="0.25">
      <c r="A23" s="11"/>
      <c r="B23" s="29"/>
      <c r="C23" s="96" t="s">
        <v>75</v>
      </c>
      <c r="D23" s="114" t="s">
        <v>74</v>
      </c>
      <c r="E23" s="71">
        <v>150</v>
      </c>
      <c r="F23" s="72">
        <f>E23*0.48/200</f>
        <v>0.36</v>
      </c>
      <c r="G23" s="72">
        <f>E23*0.28/200</f>
        <v>0.21000000000000005</v>
      </c>
      <c r="H23" s="72">
        <f>E23*14.07/200</f>
        <v>10.5525</v>
      </c>
      <c r="I23" s="72">
        <f>E23*60.68/200</f>
        <v>45.51</v>
      </c>
      <c r="J23" s="108"/>
    </row>
    <row r="24" spans="1:10" ht="15.75" x14ac:dyDescent="0.25">
      <c r="A24" s="11"/>
      <c r="B24" s="12"/>
      <c r="C24" s="98" t="s">
        <v>61</v>
      </c>
      <c r="D24" s="111" t="s">
        <v>59</v>
      </c>
      <c r="E24" s="71">
        <v>20</v>
      </c>
      <c r="F24" s="72">
        <f>E24*7.6/100</f>
        <v>1.52</v>
      </c>
      <c r="G24" s="74">
        <f>E24*0.8/100</f>
        <v>0.16</v>
      </c>
      <c r="H24" s="74">
        <f>E24*49.2/100</f>
        <v>9.84</v>
      </c>
      <c r="I24" s="74">
        <f>E24*235/100</f>
        <v>47</v>
      </c>
      <c r="J24" s="107"/>
    </row>
    <row r="25" spans="1:10" ht="15.75" x14ac:dyDescent="0.25">
      <c r="A25" s="3"/>
      <c r="B25" s="18"/>
      <c r="C25" s="101" t="s">
        <v>62</v>
      </c>
      <c r="D25" s="115" t="s">
        <v>63</v>
      </c>
      <c r="E25" s="71">
        <v>35</v>
      </c>
      <c r="F25" s="72">
        <f>E25*6.6/100</f>
        <v>2.31</v>
      </c>
      <c r="G25" s="74">
        <f>E25*1.2/100</f>
        <v>0.42</v>
      </c>
      <c r="H25" s="74">
        <f>E25*33.4/100</f>
        <v>11.69</v>
      </c>
      <c r="I25" s="74">
        <f>E25*174/100</f>
        <v>60.9</v>
      </c>
      <c r="J25" s="108"/>
    </row>
    <row r="26" spans="1:10" ht="15.75" x14ac:dyDescent="0.25">
      <c r="A26" s="3"/>
      <c r="B26" s="18"/>
      <c r="C26" s="101"/>
      <c r="D26" s="102"/>
      <c r="E26" s="48"/>
      <c r="F26" s="97"/>
      <c r="G26" s="79"/>
      <c r="H26" s="79"/>
      <c r="I26" s="79"/>
      <c r="J26" s="90"/>
    </row>
    <row r="27" spans="1:10" x14ac:dyDescent="0.25">
      <c r="A27" s="103" t="s">
        <v>64</v>
      </c>
      <c r="B27" s="104"/>
      <c r="C27" s="91" t="s">
        <v>78</v>
      </c>
      <c r="D27" s="68" t="s">
        <v>76</v>
      </c>
      <c r="E27" s="88">
        <v>70</v>
      </c>
      <c r="F27" s="89">
        <f>E27*12.04/100</f>
        <v>8.427999999999999</v>
      </c>
      <c r="G27" s="89">
        <f>E27*10.7/100</f>
        <v>7.49</v>
      </c>
      <c r="H27" s="89">
        <f>E27*19.71/100</f>
        <v>13.797000000000001</v>
      </c>
      <c r="I27" s="89">
        <f>E27*222.41/100</f>
        <v>155.68699999999998</v>
      </c>
      <c r="J27" s="90"/>
    </row>
    <row r="28" spans="1:10" x14ac:dyDescent="0.25">
      <c r="A28" s="1"/>
      <c r="B28" s="1"/>
      <c r="C28" s="91" t="s">
        <v>79</v>
      </c>
      <c r="D28" s="68" t="s">
        <v>77</v>
      </c>
      <c r="E28" s="88">
        <v>130</v>
      </c>
      <c r="F28" s="89">
        <f>E28*5.6/200</f>
        <v>3.64</v>
      </c>
      <c r="G28" s="89">
        <f>E28*4.38/200</f>
        <v>2.847</v>
      </c>
      <c r="H28" s="89">
        <f>E28*8.18/200</f>
        <v>5.3169999999999993</v>
      </c>
      <c r="I28" s="89">
        <f>E28*94.52/200</f>
        <v>61.438000000000002</v>
      </c>
      <c r="J28" s="90"/>
    </row>
  </sheetData>
  <mergeCells count="8">
    <mergeCell ref="A9:D9"/>
    <mergeCell ref="E9:G9"/>
    <mergeCell ref="A1:I1"/>
    <mergeCell ref="G3:I3"/>
    <mergeCell ref="G4:I4"/>
    <mergeCell ref="G5:I5"/>
    <mergeCell ref="A7:D7"/>
    <mergeCell ref="H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6D55-0A70-462B-A05A-A763238F3AA1}">
  <dimension ref="A1:J28"/>
  <sheetViews>
    <sheetView workbookViewId="0">
      <selection activeCell="K10" sqref="K10"/>
    </sheetView>
  </sheetViews>
  <sheetFormatPr defaultRowHeight="15" x14ac:dyDescent="0.25"/>
  <cols>
    <col min="3" max="3" width="6.7109375" customWidth="1"/>
    <col min="4" max="4" width="31.85546875" customWidth="1"/>
    <col min="5" max="5" width="6.42578125" customWidth="1"/>
    <col min="6" max="7" width="6.7109375" customWidth="1"/>
    <col min="8" max="8" width="7.7109375" customWidth="1"/>
  </cols>
  <sheetData>
    <row r="1" spans="1:9" ht="24" customHeight="1" x14ac:dyDescent="0.25">
      <c r="A1" s="125" t="s">
        <v>15</v>
      </c>
      <c r="B1" s="125"/>
      <c r="C1" s="125"/>
      <c r="D1" s="125"/>
      <c r="E1" s="125"/>
      <c r="F1" s="125"/>
      <c r="G1" s="125"/>
      <c r="H1" s="125"/>
      <c r="I1" s="125"/>
    </row>
    <row r="3" spans="1:9" ht="18.75" x14ac:dyDescent="0.3">
      <c r="A3" s="3"/>
      <c r="B3" s="3"/>
      <c r="C3" s="3"/>
      <c r="D3" s="3"/>
      <c r="G3" s="117" t="s">
        <v>19</v>
      </c>
      <c r="H3" s="117"/>
      <c r="I3" s="117"/>
    </row>
    <row r="4" spans="1:9" ht="15.75" x14ac:dyDescent="0.25">
      <c r="A4" s="3"/>
      <c r="B4" s="3"/>
      <c r="C4" s="3"/>
      <c r="D4" s="3"/>
      <c r="G4" s="118" t="s">
        <v>20</v>
      </c>
      <c r="H4" s="118"/>
      <c r="I4" s="118"/>
    </row>
    <row r="5" spans="1:9" ht="15.75" x14ac:dyDescent="0.25">
      <c r="A5" s="3"/>
      <c r="B5" s="3"/>
      <c r="C5" s="3"/>
      <c r="D5" s="3"/>
      <c r="G5" s="119" t="s">
        <v>21</v>
      </c>
      <c r="H5" s="119"/>
      <c r="I5" s="119"/>
    </row>
    <row r="6" spans="1:9" ht="15.75" x14ac:dyDescent="0.25">
      <c r="A6" s="3"/>
      <c r="B6" s="3"/>
      <c r="C6" s="3"/>
      <c r="D6" s="3"/>
      <c r="E6" s="35"/>
      <c r="F6" s="35"/>
    </row>
    <row r="7" spans="1:9" ht="15.75" x14ac:dyDescent="0.25">
      <c r="A7" s="121" t="s">
        <v>53</v>
      </c>
      <c r="B7" s="122"/>
      <c r="C7" s="122"/>
      <c r="D7" s="122"/>
      <c r="E7" s="35"/>
      <c r="F7" s="35"/>
      <c r="H7" s="124" t="s">
        <v>54</v>
      </c>
      <c r="I7" s="124"/>
    </row>
    <row r="8" spans="1:9" ht="15.75" x14ac:dyDescent="0.25">
      <c r="A8" s="3"/>
      <c r="B8" s="3"/>
      <c r="C8" s="3"/>
      <c r="D8" s="3"/>
      <c r="E8" s="3"/>
      <c r="F8" s="3"/>
      <c r="G8" s="3"/>
      <c r="H8" s="3"/>
    </row>
    <row r="9" spans="1:9" ht="15.75" x14ac:dyDescent="0.25">
      <c r="A9" s="121"/>
      <c r="B9" s="122"/>
      <c r="C9" s="122"/>
      <c r="D9" s="122"/>
      <c r="E9" s="120" t="s">
        <v>80</v>
      </c>
      <c r="F9" s="122"/>
      <c r="G9" s="122"/>
      <c r="H9" s="59">
        <v>3</v>
      </c>
      <c r="I9" t="s">
        <v>1</v>
      </c>
    </row>
    <row r="10" spans="1:9" ht="16.5" thickBot="1" x14ac:dyDescent="0.3">
      <c r="A10" s="3"/>
      <c r="B10" s="8"/>
      <c r="C10" s="8"/>
      <c r="D10" s="8"/>
      <c r="E10" s="8"/>
      <c r="F10" s="8"/>
      <c r="G10" s="8"/>
      <c r="H10" s="8"/>
    </row>
    <row r="11" spans="1:9" ht="32.25" thickBot="1" x14ac:dyDescent="0.3">
      <c r="A11" s="21" t="s">
        <v>2</v>
      </c>
      <c r="B11" s="22" t="s">
        <v>3</v>
      </c>
      <c r="C11" s="65" t="s">
        <v>13</v>
      </c>
      <c r="D11" s="22" t="s">
        <v>4</v>
      </c>
      <c r="E11" s="24" t="s">
        <v>14</v>
      </c>
      <c r="F11" s="23" t="s">
        <v>22</v>
      </c>
      <c r="G11" s="23" t="s">
        <v>23</v>
      </c>
      <c r="H11" s="30" t="s">
        <v>24</v>
      </c>
      <c r="I11" s="32" t="s">
        <v>25</v>
      </c>
    </row>
    <row r="12" spans="1:9" ht="30" x14ac:dyDescent="0.25">
      <c r="A12" s="66" t="s">
        <v>5</v>
      </c>
      <c r="B12" s="67" t="s">
        <v>6</v>
      </c>
      <c r="C12" s="112" t="s">
        <v>65</v>
      </c>
      <c r="D12" s="106" t="s">
        <v>33</v>
      </c>
      <c r="E12" s="107">
        <v>150</v>
      </c>
      <c r="F12" s="72">
        <f>E12*38.97/1000</f>
        <v>5.8455000000000004</v>
      </c>
      <c r="G12" s="74">
        <f>E12*49.48/1000</f>
        <v>7.4219999999999988</v>
      </c>
      <c r="H12" s="74">
        <f>E12*179.55/1000</f>
        <v>26.932500000000001</v>
      </c>
      <c r="I12" s="74">
        <f>E12*1334.47/1000</f>
        <v>200.1705</v>
      </c>
    </row>
    <row r="13" spans="1:9" ht="30" x14ac:dyDescent="0.25">
      <c r="A13" s="11"/>
      <c r="B13" s="69" t="s">
        <v>7</v>
      </c>
      <c r="C13" s="112" t="s">
        <v>67</v>
      </c>
      <c r="D13" s="106" t="s">
        <v>66</v>
      </c>
      <c r="E13" s="109">
        <v>180</v>
      </c>
      <c r="F13" s="110">
        <f>E13*1.45/200</f>
        <v>1.3049999999999999</v>
      </c>
      <c r="G13" s="110">
        <f>E13*1.25/200</f>
        <v>1.125</v>
      </c>
      <c r="H13" s="110">
        <f>E13*17.44/200</f>
        <v>15.696000000000002</v>
      </c>
      <c r="I13" s="110">
        <f>E13*87.12/200</f>
        <v>78.408000000000001</v>
      </c>
    </row>
    <row r="14" spans="1:9" ht="15.75" x14ac:dyDescent="0.25">
      <c r="A14" s="11"/>
      <c r="B14" s="70" t="s">
        <v>12</v>
      </c>
      <c r="C14" s="113" t="s">
        <v>56</v>
      </c>
      <c r="D14" s="111" t="s">
        <v>57</v>
      </c>
      <c r="E14" s="71">
        <v>4</v>
      </c>
      <c r="F14" s="72">
        <f>E14*0.5/100</f>
        <v>0.02</v>
      </c>
      <c r="G14" s="72">
        <f>E14*82.5/100</f>
        <v>3.3</v>
      </c>
      <c r="H14" s="72">
        <f>E14*0.8/100</f>
        <v>3.2000000000000001E-2</v>
      </c>
      <c r="I14" s="72">
        <f>E14*748/100</f>
        <v>29.92</v>
      </c>
    </row>
    <row r="15" spans="1:9" ht="15.75" x14ac:dyDescent="0.25">
      <c r="A15" s="11"/>
      <c r="B15" s="73"/>
      <c r="C15" s="113" t="s">
        <v>58</v>
      </c>
      <c r="D15" s="111" t="s">
        <v>59</v>
      </c>
      <c r="E15" s="71">
        <v>30</v>
      </c>
      <c r="F15" s="72">
        <f>E15*7.6/100</f>
        <v>2.2799999999999998</v>
      </c>
      <c r="G15" s="74">
        <f>E15*0.8/100</f>
        <v>0.24</v>
      </c>
      <c r="H15" s="74">
        <f>E15*49.2/100</f>
        <v>14.76</v>
      </c>
      <c r="I15" s="74">
        <f>E15*235/100</f>
        <v>70.5</v>
      </c>
    </row>
    <row r="16" spans="1:9" ht="15.75" x14ac:dyDescent="0.25">
      <c r="A16" s="11"/>
      <c r="B16" s="73"/>
      <c r="C16" s="75"/>
      <c r="D16" s="2"/>
      <c r="E16" s="71"/>
      <c r="F16" s="34"/>
      <c r="G16" s="34"/>
      <c r="H16" s="34"/>
      <c r="I16" s="34"/>
    </row>
    <row r="17" spans="1:10" ht="15.75" x14ac:dyDescent="0.25">
      <c r="A17" s="76" t="s">
        <v>60</v>
      </c>
      <c r="B17" s="77"/>
      <c r="C17" s="78" t="s">
        <v>69</v>
      </c>
      <c r="D17" s="99" t="s">
        <v>68</v>
      </c>
      <c r="E17" s="48">
        <v>100</v>
      </c>
      <c r="F17" s="79">
        <f>E17*1.5/100</f>
        <v>1.5</v>
      </c>
      <c r="G17" s="79">
        <f>E17*0.1/100</f>
        <v>0.1</v>
      </c>
      <c r="H17" s="79">
        <f>E17*21/100</f>
        <v>21</v>
      </c>
      <c r="I17" s="79">
        <f>E17*89/100</f>
        <v>89</v>
      </c>
    </row>
    <row r="18" spans="1:10" ht="16.5" thickBot="1" x14ac:dyDescent="0.3">
      <c r="A18" s="14"/>
      <c r="B18" s="15"/>
      <c r="C18" s="80"/>
      <c r="D18" s="81"/>
      <c r="E18" s="82"/>
      <c r="F18" s="83"/>
      <c r="G18" s="83"/>
      <c r="H18" s="84"/>
      <c r="I18" s="85"/>
    </row>
    <row r="19" spans="1:10" ht="15.75" x14ac:dyDescent="0.25">
      <c r="A19" s="55" t="s">
        <v>8</v>
      </c>
      <c r="B19" s="86" t="s">
        <v>9</v>
      </c>
      <c r="C19" s="87" t="s">
        <v>70</v>
      </c>
      <c r="D19" s="111" t="s">
        <v>44</v>
      </c>
      <c r="E19" s="71">
        <v>60</v>
      </c>
      <c r="F19" s="72">
        <f>E19*0.73/100</f>
        <v>0.43799999999999994</v>
      </c>
      <c r="G19" s="72">
        <f>E19*10.1/100</f>
        <v>6.06</v>
      </c>
      <c r="H19" s="72">
        <f>E19*2.28/100</f>
        <v>1.3679999999999999</v>
      </c>
      <c r="I19" s="72">
        <f>E19*102.64/100</f>
        <v>61.583999999999996</v>
      </c>
    </row>
    <row r="20" spans="1:10" ht="15.75" x14ac:dyDescent="0.25">
      <c r="A20" s="11"/>
      <c r="B20" s="27" t="s">
        <v>10</v>
      </c>
      <c r="C20" s="91" t="s">
        <v>72</v>
      </c>
      <c r="D20" s="99" t="s">
        <v>71</v>
      </c>
      <c r="E20" s="100">
        <v>200</v>
      </c>
      <c r="F20" s="97">
        <f>E20*9.17/1000</f>
        <v>1.8340000000000001</v>
      </c>
      <c r="G20" s="97">
        <f>E20*17.86/1000</f>
        <v>3.5720000000000001</v>
      </c>
      <c r="H20" s="97">
        <f>E20*39.71/1000</f>
        <v>7.9420000000000002</v>
      </c>
      <c r="I20" s="97">
        <f>E20*402.06/1000</f>
        <v>80.412000000000006</v>
      </c>
    </row>
    <row r="21" spans="1:10" ht="15.75" x14ac:dyDescent="0.25">
      <c r="A21" s="11"/>
      <c r="B21" s="28" t="s">
        <v>11</v>
      </c>
      <c r="C21" s="91" t="s">
        <v>73</v>
      </c>
      <c r="D21" s="99" t="s">
        <v>48</v>
      </c>
      <c r="E21" s="48">
        <v>200</v>
      </c>
      <c r="F21" s="79">
        <f>E21*10.4/175</f>
        <v>11.885714285714286</v>
      </c>
      <c r="G21" s="79">
        <f>E21*12.662/175</f>
        <v>14.470857142857144</v>
      </c>
      <c r="H21" s="79">
        <f>E21*16.44/175</f>
        <v>18.78857142857143</v>
      </c>
      <c r="I21" s="79">
        <f>E21*229.02/175</f>
        <v>261.73714285714289</v>
      </c>
    </row>
    <row r="22" spans="1:10" ht="15.75" x14ac:dyDescent="0.25">
      <c r="A22" s="11"/>
      <c r="B22" s="28"/>
      <c r="C22" s="91"/>
      <c r="D22" s="93"/>
      <c r="E22" s="94"/>
      <c r="F22" s="95"/>
      <c r="G22" s="95"/>
      <c r="H22" s="95"/>
      <c r="I22" s="95"/>
    </row>
    <row r="23" spans="1:10" ht="24" customHeight="1" x14ac:dyDescent="0.3">
      <c r="A23" s="11"/>
      <c r="B23" s="29"/>
      <c r="C23" s="96" t="s">
        <v>75</v>
      </c>
      <c r="D23" s="114" t="s">
        <v>74</v>
      </c>
      <c r="E23" s="71">
        <v>180</v>
      </c>
      <c r="F23" s="72">
        <f>E23*0.48/200</f>
        <v>0.43199999999999994</v>
      </c>
      <c r="G23" s="72">
        <f>E23*0.28/200</f>
        <v>0.252</v>
      </c>
      <c r="H23" s="72">
        <f>E23*14.07/200</f>
        <v>12.663</v>
      </c>
      <c r="I23" s="72">
        <f>E23*60.68/200</f>
        <v>54.611999999999995</v>
      </c>
      <c r="J23" s="105"/>
    </row>
    <row r="24" spans="1:10" ht="18.75" x14ac:dyDescent="0.3">
      <c r="A24" s="11"/>
      <c r="B24" s="12"/>
      <c r="C24" s="98" t="s">
        <v>61</v>
      </c>
      <c r="D24" s="111" t="s">
        <v>59</v>
      </c>
      <c r="E24" s="71">
        <v>30</v>
      </c>
      <c r="F24" s="72">
        <f>E24*7.6/100</f>
        <v>2.2799999999999998</v>
      </c>
      <c r="G24" s="74">
        <f>E24*0.8/100</f>
        <v>0.24</v>
      </c>
      <c r="H24" s="74">
        <f>E24*49.2/100</f>
        <v>14.76</v>
      </c>
      <c r="I24" s="74">
        <f>E24*235/100</f>
        <v>70.5</v>
      </c>
      <c r="J24" s="105"/>
    </row>
    <row r="25" spans="1:10" ht="18.75" x14ac:dyDescent="0.3">
      <c r="A25" s="3"/>
      <c r="B25" s="18"/>
      <c r="C25" s="101" t="s">
        <v>62</v>
      </c>
      <c r="D25" s="115" t="s">
        <v>63</v>
      </c>
      <c r="E25" s="71">
        <v>42</v>
      </c>
      <c r="F25" s="72">
        <f>E25*6.6/100</f>
        <v>2.7719999999999998</v>
      </c>
      <c r="G25" s="74">
        <f>E25*1.2/100</f>
        <v>0.504</v>
      </c>
      <c r="H25" s="74">
        <f>E25*33.4/100</f>
        <v>14.027999999999999</v>
      </c>
      <c r="I25" s="74">
        <f>E25*174/100</f>
        <v>73.08</v>
      </c>
      <c r="J25" s="105"/>
    </row>
    <row r="26" spans="1:10" ht="15.75" x14ac:dyDescent="0.25">
      <c r="A26" s="3"/>
      <c r="B26" s="18"/>
      <c r="C26" s="101"/>
      <c r="D26" s="102"/>
      <c r="E26" s="48"/>
      <c r="F26" s="97"/>
      <c r="G26" s="79"/>
      <c r="H26" s="79"/>
      <c r="I26" s="79"/>
    </row>
    <row r="27" spans="1:10" x14ac:dyDescent="0.25">
      <c r="A27" s="103" t="s">
        <v>64</v>
      </c>
      <c r="B27" s="104"/>
      <c r="C27" s="91" t="s">
        <v>78</v>
      </c>
      <c r="D27" s="68" t="s">
        <v>76</v>
      </c>
      <c r="E27" s="88">
        <v>90</v>
      </c>
      <c r="F27" s="89">
        <f>E27*12.04/100</f>
        <v>10.835999999999999</v>
      </c>
      <c r="G27" s="89">
        <f>E27*10.7/100</f>
        <v>9.629999999999999</v>
      </c>
      <c r="H27" s="89">
        <f>E27*19.71/100</f>
        <v>17.739000000000001</v>
      </c>
      <c r="I27" s="89">
        <f>E27*222.41/100</f>
        <v>200.16900000000001</v>
      </c>
    </row>
    <row r="28" spans="1:10" x14ac:dyDescent="0.25">
      <c r="A28" s="1"/>
      <c r="B28" s="1"/>
      <c r="C28" s="91" t="s">
        <v>79</v>
      </c>
      <c r="D28" s="68" t="s">
        <v>77</v>
      </c>
      <c r="E28" s="88">
        <v>150</v>
      </c>
      <c r="F28" s="89">
        <f>E28*5.6/200</f>
        <v>4.2</v>
      </c>
      <c r="G28" s="89">
        <f>E28*4.38/200</f>
        <v>3.2850000000000001</v>
      </c>
      <c r="H28" s="89">
        <f>E28*8.18/200</f>
        <v>6.1349999999999998</v>
      </c>
      <c r="I28" s="89">
        <f>E28*94.52/200</f>
        <v>70.89</v>
      </c>
    </row>
  </sheetData>
  <mergeCells count="8">
    <mergeCell ref="A9:D9"/>
    <mergeCell ref="E9:G9"/>
    <mergeCell ref="A1:I1"/>
    <mergeCell ref="G3:I3"/>
    <mergeCell ref="G4:I4"/>
    <mergeCell ref="G5:I5"/>
    <mergeCell ref="A7:D7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7-11 лет</vt:lpstr>
      <vt:lpstr>12 и старше</vt:lpstr>
      <vt:lpstr>до 3 лет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Артиева</cp:lastModifiedBy>
  <cp:lastPrinted>2025-09-04T17:05:45Z</cp:lastPrinted>
  <dcterms:created xsi:type="dcterms:W3CDTF">2015-06-05T18:19:34Z</dcterms:created>
  <dcterms:modified xsi:type="dcterms:W3CDTF">2025-10-05T17:16:16Z</dcterms:modified>
</cp:coreProperties>
</file>