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BE8495FE-DB15-47F8-A785-F35696F05669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7-11 лет" sheetId="1" r:id="rId1"/>
    <sheet name="12 и старше" sheetId="2" r:id="rId2"/>
    <sheet name="до 3 лет" sheetId="4" r:id="rId3"/>
    <sheet name="3-7 лет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5" l="1"/>
  <c r="H28" i="5"/>
  <c r="G28" i="5"/>
  <c r="F28" i="5"/>
  <c r="I27" i="5"/>
  <c r="H27" i="5"/>
  <c r="G27" i="5"/>
  <c r="F27" i="5"/>
  <c r="I25" i="5"/>
  <c r="H25" i="5"/>
  <c r="G25" i="5"/>
  <c r="F25" i="5"/>
  <c r="I24" i="5"/>
  <c r="H24" i="5"/>
  <c r="G24" i="5"/>
  <c r="F24" i="5"/>
  <c r="I23" i="5"/>
  <c r="H23" i="5"/>
  <c r="G23" i="5"/>
  <c r="F23" i="5"/>
  <c r="I22" i="5"/>
  <c r="H22" i="5"/>
  <c r="G22" i="5"/>
  <c r="F22" i="5"/>
  <c r="I21" i="5"/>
  <c r="H21" i="5"/>
  <c r="G21" i="5"/>
  <c r="F21" i="5"/>
  <c r="I20" i="5"/>
  <c r="H20" i="5"/>
  <c r="G20" i="5"/>
  <c r="F20" i="5"/>
  <c r="I18" i="5"/>
  <c r="H18" i="5"/>
  <c r="G18" i="5"/>
  <c r="F18" i="5"/>
  <c r="I16" i="5"/>
  <c r="H16" i="5"/>
  <c r="G16" i="5"/>
  <c r="F16" i="5"/>
  <c r="I15" i="5"/>
  <c r="G15" i="5"/>
  <c r="F15" i="5"/>
  <c r="I14" i="5"/>
  <c r="H14" i="5"/>
  <c r="G14" i="5"/>
  <c r="F14" i="5"/>
  <c r="I13" i="5"/>
  <c r="H13" i="5"/>
  <c r="G13" i="5"/>
  <c r="F13" i="5"/>
  <c r="I12" i="5"/>
  <c r="H12" i="5"/>
  <c r="G12" i="5"/>
  <c r="F12" i="5"/>
  <c r="I28" i="4"/>
  <c r="H28" i="4"/>
  <c r="G28" i="4"/>
  <c r="F28" i="4"/>
  <c r="I27" i="4"/>
  <c r="H27" i="4"/>
  <c r="G27" i="4"/>
  <c r="F27" i="4"/>
  <c r="I25" i="4"/>
  <c r="H25" i="4"/>
  <c r="G25" i="4"/>
  <c r="F25" i="4"/>
  <c r="I24" i="4"/>
  <c r="H24" i="4"/>
  <c r="G24" i="4"/>
  <c r="F24" i="4"/>
  <c r="I20" i="4"/>
  <c r="H20" i="4"/>
  <c r="G20" i="4"/>
  <c r="F20" i="4"/>
  <c r="I23" i="4"/>
  <c r="H23" i="4"/>
  <c r="G23" i="4"/>
  <c r="F23" i="4"/>
  <c r="I22" i="4"/>
  <c r="H22" i="4"/>
  <c r="G22" i="4"/>
  <c r="F22" i="4"/>
  <c r="I21" i="4"/>
  <c r="H21" i="4"/>
  <c r="G21" i="4"/>
  <c r="F21" i="4"/>
  <c r="I18" i="4"/>
  <c r="H18" i="4"/>
  <c r="G18" i="4"/>
  <c r="F18" i="4"/>
  <c r="I16" i="4"/>
  <c r="H16" i="4"/>
  <c r="G16" i="4"/>
  <c r="F16" i="4"/>
  <c r="I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1" i="2" l="1"/>
  <c r="H21" i="2"/>
  <c r="G21" i="2"/>
  <c r="F21" i="2"/>
  <c r="I20" i="2"/>
  <c r="H20" i="2"/>
  <c r="G20" i="2"/>
  <c r="F20" i="2"/>
  <c r="I18" i="2" l="1"/>
  <c r="H18" i="2"/>
  <c r="G18" i="2"/>
  <c r="F18" i="2"/>
  <c r="I16" i="2"/>
  <c r="H16" i="2"/>
  <c r="G16" i="2"/>
  <c r="F16" i="2"/>
  <c r="I15" i="2"/>
  <c r="H15" i="2"/>
  <c r="G15" i="2"/>
  <c r="F15" i="2"/>
  <c r="I14" i="2"/>
  <c r="H14" i="2"/>
  <c r="G14" i="2"/>
  <c r="F14" i="2"/>
  <c r="I13" i="2"/>
  <c r="H13" i="2"/>
  <c r="G13" i="2"/>
  <c r="F13" i="2"/>
  <c r="I27" i="1"/>
  <c r="H27" i="1"/>
  <c r="G27" i="1"/>
  <c r="F27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19" i="1"/>
  <c r="H19" i="1"/>
  <c r="G19" i="1"/>
  <c r="F19" i="1"/>
  <c r="I18" i="1"/>
  <c r="H18" i="1"/>
  <c r="G18" i="1"/>
  <c r="F18" i="1"/>
  <c r="I16" i="1"/>
  <c r="H16" i="1"/>
  <c r="G16" i="1"/>
  <c r="F16" i="1"/>
  <c r="I15" i="1"/>
  <c r="G15" i="1"/>
  <c r="F15" i="1"/>
  <c r="I14" i="1"/>
  <c r="H14" i="1"/>
  <c r="G14" i="1"/>
  <c r="F14" i="1"/>
  <c r="I12" i="1"/>
  <c r="H12" i="1"/>
  <c r="G12" i="1"/>
  <c r="F12" i="1"/>
</calcChain>
</file>

<file path=xl/sharedStrings.xml><?xml version="1.0" encoding="utf-8"?>
<sst xmlns="http://schemas.openxmlformats.org/spreadsheetml/2006/main" count="198" uniqueCount="82">
  <si>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</si>
  <si>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</si>
  <si>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</si>
  <si>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</si>
  <si>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</si>
  <si>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</si>
  <si>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</si>
  <si>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</si>
  <si>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</si>
  <si>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</si>
  <si>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</si>
  <si>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</si>
  <si>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</si>
  <si>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</t>
  </si>
  <si>
    <t>№ рец.</t>
  </si>
  <si>
    <t>Выход, г</t>
  </si>
  <si>
    <t>МБОУ "КСОШ им.Героя РФ С.В.Перца"</t>
  </si>
  <si>
    <t xml:space="preserve">компот </t>
  </si>
  <si>
    <t>7-11 лет</t>
  </si>
  <si>
    <t>полдник</t>
  </si>
  <si>
    <t>Утверждено</t>
  </si>
  <si>
    <t>Директор школы</t>
  </si>
  <si>
    <t>_____Ю.П.Артиева</t>
  </si>
  <si>
    <t>Б</t>
  </si>
  <si>
    <t>Ж</t>
  </si>
  <si>
    <t>У</t>
  </si>
  <si>
    <t>Масло сливочное</t>
  </si>
  <si>
    <t>кКал</t>
  </si>
  <si>
    <t>Каша манная молочная жидкая</t>
  </si>
  <si>
    <t>кофейный напиток с молоком</t>
  </si>
  <si>
    <t>Сыр</t>
  </si>
  <si>
    <t>Хлеб пшеничный</t>
  </si>
  <si>
    <t>54-23гн</t>
  </si>
  <si>
    <t>конфеты шоколадные</t>
  </si>
  <si>
    <t>слойка с повидлом</t>
  </si>
  <si>
    <r>
      <rPr>
        <sz val="12"/>
        <rFont val="Times New Roman"/>
        <family val="1"/>
        <charset val="204"/>
      </rPr>
      <t>молоко кипяченое</t>
    </r>
    <r>
      <rPr>
        <sz val="12"/>
        <color indexed="10"/>
        <rFont val="Times New Roman"/>
        <family val="1"/>
        <charset val="204"/>
      </rPr>
      <t xml:space="preserve"> </t>
    </r>
  </si>
  <si>
    <t>№ 26</t>
  </si>
  <si>
    <t>Салат из свеклы с сол.огурцами</t>
  </si>
  <si>
    <t>№ 42</t>
  </si>
  <si>
    <t>Рассольник  "Ленинградский"</t>
  </si>
  <si>
    <t>№ 227</t>
  </si>
  <si>
    <t xml:space="preserve">Макаронные изделия отварные </t>
  </si>
  <si>
    <t>№54-36м</t>
  </si>
  <si>
    <t>биточек из оленины</t>
  </si>
  <si>
    <t>№ 282</t>
  </si>
  <si>
    <t>компот из св. плодов или ягод (яблоко)</t>
  </si>
  <si>
    <t>Хлеб ржаной</t>
  </si>
  <si>
    <t>12 лет и старше</t>
  </si>
  <si>
    <t>Полдник</t>
  </si>
  <si>
    <t>№321</t>
  </si>
  <si>
    <t>№ 288</t>
  </si>
  <si>
    <t>Биточек из оленины</t>
  </si>
  <si>
    <t>Дошкольное отделение</t>
  </si>
  <si>
    <t>до 3 лет</t>
  </si>
  <si>
    <t>№ 122</t>
  </si>
  <si>
    <t>№ 114</t>
  </si>
  <si>
    <t>Сыр сычужный твердый</t>
  </si>
  <si>
    <t>II завтрак:</t>
  </si>
  <si>
    <t>Гарнир</t>
  </si>
  <si>
    <t>№521</t>
  </si>
  <si>
    <t>№122</t>
  </si>
  <si>
    <t>Понедельник</t>
  </si>
  <si>
    <t>№ 277</t>
  </si>
  <si>
    <t>Кофейный напиток с молоком</t>
  </si>
  <si>
    <t>№ 514</t>
  </si>
  <si>
    <t>№ 119</t>
  </si>
  <si>
    <t>Плоды свежие (яблоко)</t>
  </si>
  <si>
    <t>№126</t>
  </si>
  <si>
    <t>Рассольник ленингградский</t>
  </si>
  <si>
    <t>Макаронные изделия отварные</t>
  </si>
  <si>
    <t>№ 432</t>
  </si>
  <si>
    <t>Котлета мясная</t>
  </si>
  <si>
    <t>№ 391</t>
  </si>
  <si>
    <t>Салат из свеклы с сол. огурцами</t>
  </si>
  <si>
    <t>№63</t>
  </si>
  <si>
    <t>№148</t>
  </si>
  <si>
    <t>Компот из свежих плодов или ягод (яблоко)</t>
  </si>
  <si>
    <t>Омлет натуральный</t>
  </si>
  <si>
    <t xml:space="preserve">№ 311 </t>
  </si>
  <si>
    <t>Кисель из клюквы</t>
  </si>
  <si>
    <t>№ 516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</si>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</sst>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" xfId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4" fontId="7" fillId="2" borderId="0" xfId="0" applyNumberFormat="1" applyFont="1" applyFill="1" applyProtection="1">
      <protection locked="0"/>
    </xf>
    <xf numFmtId="0" fontId="6" fillId="2" borderId="0" xfId="0" applyFont="1" applyFill="1"/>
    <xf numFmtId="0" fontId="7" fillId="0" borderId="5" xfId="0" applyFont="1" applyBorder="1"/>
    <xf numFmtId="0" fontId="6" fillId="2" borderId="6" xfId="0" applyFont="1" applyFill="1" applyBorder="1"/>
    <xf numFmtId="0" fontId="6" fillId="0" borderId="7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2" borderId="9" xfId="0" applyFont="1" applyFill="1" applyBorder="1" applyProtection="1"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Border="1"/>
    <xf numFmtId="0" fontId="6" fillId="2" borderId="4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>
      <alignment horizontal="center" vertical="center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2" borderId="6" xfId="0" applyFont="1" applyFill="1" applyBorder="1" applyAlignment="1">
      <alignment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3" fillId="0" borderId="3" xfId="1" applyFont="1" applyBorder="1"/>
    <xf numFmtId="0" fontId="1" fillId="0" borderId="1" xfId="1" applyFont="1" applyBorder="1"/>
    <xf numFmtId="0" fontId="1" fillId="2" borderId="3" xfId="0" applyFont="1" applyFill="1" applyBorder="1" applyAlignment="1">
      <alignment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7" fillId="2" borderId="0" xfId="0" applyFont="1" applyFill="1" applyAlignment="1" applyProtection="1">
      <alignment horizontal="center"/>
      <protection locked="0"/>
    </xf>
    <xf numFmtId="0" fontId="11" fillId="2" borderId="11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8" fillId="0" borderId="1" xfId="0" applyFont="1" applyBorder="1"/>
    <xf numFmtId="0" fontId="8" fillId="0" borderId="1" xfId="1" applyFont="1" applyBorder="1" applyAlignment="1">
      <alignment horizontal="left"/>
    </xf>
    <xf numFmtId="2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0" fontId="4" fillId="2" borderId="1" xfId="0" applyFont="1" applyFill="1" applyBorder="1"/>
    <xf numFmtId="0" fontId="14" fillId="0" borderId="1" xfId="0" applyFont="1" applyBorder="1" applyAlignment="1">
      <alignment horizontal="left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15" fillId="0" borderId="1" xfId="0" applyFont="1" applyBorder="1" applyAlignment="1">
      <alignment horizontal="left" vertical="center"/>
    </xf>
    <xf numFmtId="0" fontId="6" fillId="2" borderId="16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13" fillId="2" borderId="9" xfId="0" applyFont="1" applyFill="1" applyBorder="1" applyAlignment="1" applyProtection="1">
      <alignment horizontal="center"/>
      <protection locked="0"/>
    </xf>
    <xf numFmtId="0" fontId="17" fillId="0" borderId="1" xfId="0" applyFont="1" applyBorder="1"/>
    <xf numFmtId="0" fontId="14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3" fillId="2" borderId="1" xfId="0" applyFont="1" applyFill="1" applyBorder="1" applyAlignment="1" applyProtection="1">
      <alignment horizontal="left"/>
      <protection locked="0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/>
    <xf numFmtId="0" fontId="8" fillId="0" borderId="3" xfId="0" applyFont="1" applyBorder="1"/>
    <xf numFmtId="2" fontId="8" fillId="0" borderId="1" xfId="0" applyNumberFormat="1" applyFont="1" applyBorder="1" applyAlignment="1">
      <alignment horizontal="right"/>
    </xf>
    <xf numFmtId="0" fontId="8" fillId="2" borderId="3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8" fillId="2" borderId="1" xfId="0" applyFont="1" applyFill="1" applyBorder="1"/>
    <xf numFmtId="2" fontId="8" fillId="2" borderId="1" xfId="0" applyNumberFormat="1" applyFont="1" applyFill="1" applyBorder="1"/>
    <xf numFmtId="0" fontId="8" fillId="2" borderId="17" xfId="0" applyFont="1" applyFill="1" applyBorder="1" applyAlignment="1">
      <alignment wrapText="1"/>
    </xf>
    <xf numFmtId="2" fontId="8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0" fillId="0" borderId="0" xfId="0"/>
    <xf numFmtId="0" fontId="12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30"/>
  <sheetViews>
    <sheetView zoomScaleNormal="100" workbookViewId="0">
      <selection activeCell="K23" sqref="K23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5"/>
      <c r="B3" s="5"/>
      <c r="C3" s="5"/>
      <c r="D3" s="5"/>
      <c r="G3" s="111" t="s">
        <v>20</v>
      </c>
      <c r="H3" s="111"/>
      <c r="I3" s="111"/>
    </row>
    <row r="4" spans="1:9" ht="15.75" x14ac:dyDescent="0.25">
      <c r="A4" s="5"/>
      <c r="B4" s="5"/>
      <c r="C4" s="5"/>
      <c r="D4" s="5"/>
      <c r="G4" s="112" t="s">
        <v>21</v>
      </c>
      <c r="H4" s="112"/>
      <c r="I4" s="112"/>
    </row>
    <row r="5" spans="1:9" ht="15.75" x14ac:dyDescent="0.25">
      <c r="A5" s="5"/>
      <c r="B5" s="5"/>
      <c r="C5" s="5"/>
      <c r="D5" s="5"/>
      <c r="G5" s="113" t="s">
        <v>22</v>
      </c>
      <c r="H5" s="113"/>
      <c r="I5" s="113"/>
    </row>
    <row r="6" spans="1:9" ht="15.75" x14ac:dyDescent="0.25">
      <c r="A6" s="5"/>
      <c r="B6" s="5"/>
      <c r="C6" s="5"/>
      <c r="D6" s="5"/>
      <c r="E6" s="45"/>
      <c r="F6" s="45"/>
    </row>
    <row r="7" spans="1:9" ht="15.75" x14ac:dyDescent="0.25">
      <c r="A7" s="5"/>
      <c r="B7" s="5"/>
      <c r="C7" s="5"/>
      <c r="D7" s="5"/>
      <c r="E7" s="45"/>
      <c r="F7" s="45"/>
    </row>
    <row r="8" spans="1:9" ht="15.75" x14ac:dyDescent="0.25">
      <c r="A8" s="5"/>
      <c r="B8" s="5"/>
      <c r="C8" s="5"/>
      <c r="D8" s="5"/>
      <c r="E8" s="5"/>
      <c r="F8" s="5"/>
      <c r="G8" s="5"/>
      <c r="H8" s="5"/>
    </row>
    <row r="9" spans="1:9" ht="15.75" x14ac:dyDescent="0.25">
      <c r="A9" s="6" t="s">
        <v>0</v>
      </c>
      <c r="B9" s="110" t="s">
        <v>16</v>
      </c>
      <c r="C9" s="110"/>
      <c r="D9" s="110"/>
      <c r="E9" s="8" t="s">
        <v>18</v>
      </c>
      <c r="F9" s="8">
        <v>1</v>
      </c>
      <c r="G9" s="7" t="s">
        <v>1</v>
      </c>
      <c r="H9" s="9"/>
    </row>
    <row r="10" spans="1:9" ht="7.5" customHeight="1" thickBot="1" x14ac:dyDescent="0.3">
      <c r="A10" s="5"/>
      <c r="B10" s="10"/>
      <c r="C10" s="10"/>
      <c r="D10" s="10"/>
      <c r="E10" s="10"/>
      <c r="F10" s="10"/>
      <c r="G10" s="10"/>
      <c r="H10" s="10"/>
    </row>
    <row r="11" spans="1:9" ht="32.25" thickBot="1" x14ac:dyDescent="0.3">
      <c r="A11" s="27" t="s">
        <v>2</v>
      </c>
      <c r="B11" s="28" t="s">
        <v>3</v>
      </c>
      <c r="C11" s="28" t="s">
        <v>14</v>
      </c>
      <c r="D11" s="28" t="s">
        <v>4</v>
      </c>
      <c r="E11" s="30" t="s">
        <v>15</v>
      </c>
      <c r="F11" s="29" t="s">
        <v>23</v>
      </c>
      <c r="G11" s="29" t="s">
        <v>24</v>
      </c>
      <c r="H11" s="37" t="s">
        <v>25</v>
      </c>
      <c r="I11" s="41" t="s">
        <v>27</v>
      </c>
    </row>
    <row r="12" spans="1:9" ht="31.5" x14ac:dyDescent="0.25">
      <c r="A12" s="11" t="s">
        <v>5</v>
      </c>
      <c r="B12" s="46" t="s">
        <v>6</v>
      </c>
      <c r="C12" s="47">
        <v>107</v>
      </c>
      <c r="D12" s="59" t="s">
        <v>28</v>
      </c>
      <c r="E12" s="31">
        <v>205</v>
      </c>
      <c r="F12" s="42">
        <f>E12*6.2/205</f>
        <v>6.2</v>
      </c>
      <c r="G12" s="42">
        <f>E12*8.05/205</f>
        <v>8.0500000000000007</v>
      </c>
      <c r="H12" s="42">
        <f>E12*31.09/205</f>
        <v>31.09</v>
      </c>
      <c r="I12" s="42">
        <f>E12*222.02/205</f>
        <v>222.01999999999998</v>
      </c>
    </row>
    <row r="13" spans="1:9" ht="31.5" x14ac:dyDescent="0.25">
      <c r="A13" s="13"/>
      <c r="B13" s="53" t="s">
        <v>7</v>
      </c>
      <c r="C13" s="48" t="s">
        <v>32</v>
      </c>
      <c r="D13" s="54" t="s">
        <v>29</v>
      </c>
      <c r="E13" s="32">
        <v>200</v>
      </c>
      <c r="F13" s="42">
        <v>3.8</v>
      </c>
      <c r="G13" s="42">
        <v>2.9</v>
      </c>
      <c r="H13" s="42">
        <v>11.3</v>
      </c>
      <c r="I13" s="42">
        <v>86</v>
      </c>
    </row>
    <row r="14" spans="1:9" ht="15.75" x14ac:dyDescent="0.25">
      <c r="A14" s="13"/>
      <c r="B14" s="14" t="s">
        <v>13</v>
      </c>
      <c r="C14" s="49">
        <v>365</v>
      </c>
      <c r="D14" s="2" t="s">
        <v>26</v>
      </c>
      <c r="E14" s="32">
        <v>12</v>
      </c>
      <c r="F14" s="42">
        <f>E14*0.1/10</f>
        <v>0.12000000000000002</v>
      </c>
      <c r="G14" s="42">
        <f>E14*7.2/10</f>
        <v>8.64</v>
      </c>
      <c r="H14" s="42">
        <f>E14*0.1/10</f>
        <v>0.12000000000000002</v>
      </c>
      <c r="I14" s="42">
        <f>E14*66/10</f>
        <v>79.2</v>
      </c>
    </row>
    <row r="15" spans="1:9" ht="15.75" x14ac:dyDescent="0.25">
      <c r="A15" s="13"/>
      <c r="B15" s="16"/>
      <c r="C15" s="49">
        <v>366</v>
      </c>
      <c r="D15" s="2" t="s">
        <v>30</v>
      </c>
      <c r="E15" s="31">
        <v>20</v>
      </c>
      <c r="F15" s="42">
        <f>E15*6.96/30</f>
        <v>4.6399999999999997</v>
      </c>
      <c r="G15" s="43">
        <f>E15*8.85/30</f>
        <v>5.9</v>
      </c>
      <c r="H15" s="43">
        <v>0</v>
      </c>
      <c r="I15" s="43">
        <f>E15*109.2/30</f>
        <v>72.8</v>
      </c>
    </row>
    <row r="16" spans="1:9" ht="16.5" thickBot="1" x14ac:dyDescent="0.3">
      <c r="A16" s="17"/>
      <c r="B16" s="18"/>
      <c r="C16" s="50"/>
      <c r="D16" s="2" t="s">
        <v>31</v>
      </c>
      <c r="E16" s="32">
        <v>50</v>
      </c>
      <c r="F16" s="42">
        <f>E16*6.9/100</f>
        <v>3.45</v>
      </c>
      <c r="G16" s="43">
        <f>1*E16/100</f>
        <v>0.5</v>
      </c>
      <c r="H16" s="43">
        <f>E16*48.3/100</f>
        <v>24.15</v>
      </c>
      <c r="I16" s="43">
        <f>E16*235/100</f>
        <v>117.5</v>
      </c>
    </row>
    <row r="17" spans="1:9" ht="16.5" thickBot="1" x14ac:dyDescent="0.3">
      <c r="A17" s="13"/>
      <c r="B17" s="55"/>
      <c r="C17" s="56"/>
      <c r="D17" s="2"/>
      <c r="E17" s="32"/>
      <c r="F17" s="42"/>
      <c r="G17" s="43"/>
      <c r="H17" s="43"/>
      <c r="I17" s="43"/>
    </row>
    <row r="18" spans="1:9" ht="15.75" x14ac:dyDescent="0.25">
      <c r="A18" s="11" t="s">
        <v>19</v>
      </c>
      <c r="B18" s="12"/>
      <c r="C18" s="51"/>
      <c r="D18" s="2" t="s">
        <v>33</v>
      </c>
      <c r="E18" s="32">
        <v>27</v>
      </c>
      <c r="F18" s="42">
        <f>0.05*E18/50</f>
        <v>2.7000000000000003E-2</v>
      </c>
      <c r="G18" s="42">
        <f>0.05*E18/50</f>
        <v>2.7000000000000003E-2</v>
      </c>
      <c r="H18" s="42">
        <f>36.2*E18/50</f>
        <v>19.548000000000002</v>
      </c>
      <c r="I18" s="42">
        <f>177.2*E18/50</f>
        <v>95.687999999999988</v>
      </c>
    </row>
    <row r="19" spans="1:9" ht="15.75" x14ac:dyDescent="0.25">
      <c r="A19" s="20"/>
      <c r="B19" s="21"/>
      <c r="C19" s="52">
        <v>321</v>
      </c>
      <c r="D19" s="2" t="s">
        <v>34</v>
      </c>
      <c r="E19" s="32">
        <v>55</v>
      </c>
      <c r="F19" s="42">
        <f>E19*4.49/60</f>
        <v>4.1158333333333337</v>
      </c>
      <c r="G19" s="42">
        <f>E19*11.36/60</f>
        <v>10.413333333333332</v>
      </c>
      <c r="H19" s="42">
        <f>E19*37.52/60</f>
        <v>34.393333333333338</v>
      </c>
      <c r="I19" s="42">
        <f>E19*144.24/60</f>
        <v>132.22</v>
      </c>
    </row>
    <row r="20" spans="1:9" ht="15.75" x14ac:dyDescent="0.25">
      <c r="A20" s="13"/>
      <c r="B20" s="16"/>
      <c r="C20" s="49">
        <v>288</v>
      </c>
      <c r="D20" s="57" t="s">
        <v>35</v>
      </c>
      <c r="E20" s="58">
        <v>200</v>
      </c>
      <c r="F20" s="58">
        <v>5.59</v>
      </c>
      <c r="G20" s="58">
        <v>6.38</v>
      </c>
      <c r="H20" s="58">
        <v>9.3800000000000008</v>
      </c>
      <c r="I20" s="58">
        <v>117.31</v>
      </c>
    </row>
    <row r="21" spans="1:9" ht="16.5" thickBot="1" x14ac:dyDescent="0.3">
      <c r="A21" s="17"/>
      <c r="B21" s="18"/>
      <c r="C21" s="50"/>
      <c r="D21" s="33"/>
      <c r="E21" s="4"/>
      <c r="F21" s="19"/>
      <c r="G21" s="19"/>
      <c r="H21" s="38"/>
      <c r="I21" s="1"/>
    </row>
    <row r="22" spans="1:9" ht="31.5" x14ac:dyDescent="0.25">
      <c r="A22" s="20" t="s">
        <v>8</v>
      </c>
      <c r="B22" s="62" t="s">
        <v>9</v>
      </c>
      <c r="C22" s="44" t="s">
        <v>36</v>
      </c>
      <c r="D22" s="3" t="s">
        <v>37</v>
      </c>
      <c r="E22" s="32">
        <v>100</v>
      </c>
      <c r="F22" s="43">
        <f>E22*1.26/100</f>
        <v>1.26</v>
      </c>
      <c r="G22" s="43">
        <f>E22*10.08/100</f>
        <v>10.08</v>
      </c>
      <c r="H22" s="43">
        <f>E22*7.76/100</f>
        <v>7.76</v>
      </c>
      <c r="I22" s="43">
        <f>E22*126.8/100</f>
        <v>126.8</v>
      </c>
    </row>
    <row r="23" spans="1:9" ht="31.5" x14ac:dyDescent="0.25">
      <c r="A23" s="13"/>
      <c r="B23" s="34" t="s">
        <v>10</v>
      </c>
      <c r="C23" s="44" t="s">
        <v>38</v>
      </c>
      <c r="D23" s="3" t="s">
        <v>39</v>
      </c>
      <c r="E23" s="31">
        <v>200</v>
      </c>
      <c r="F23" s="42">
        <f>E23*5.03/250</f>
        <v>4.024</v>
      </c>
      <c r="G23" s="42">
        <f>E23*11.3/250</f>
        <v>9.0399999999999991</v>
      </c>
      <c r="H23" s="42">
        <f>E23*32.28/250</f>
        <v>25.824000000000002</v>
      </c>
      <c r="I23" s="42">
        <f>E23*149.6/250</f>
        <v>119.68</v>
      </c>
    </row>
    <row r="24" spans="1:9" ht="31.5" x14ac:dyDescent="0.25">
      <c r="A24" s="13"/>
      <c r="B24" s="35" t="s">
        <v>12</v>
      </c>
      <c r="C24" s="44" t="s">
        <v>40</v>
      </c>
      <c r="D24" s="3" t="s">
        <v>41</v>
      </c>
      <c r="E24" s="32">
        <v>150</v>
      </c>
      <c r="F24" s="42">
        <f>E24*3.68/100</f>
        <v>5.52</v>
      </c>
      <c r="G24" s="42">
        <f>E24*3.53/100</f>
        <v>5.2949999999999999</v>
      </c>
      <c r="H24" s="42">
        <f>E24*23.55/100</f>
        <v>35.325000000000003</v>
      </c>
      <c r="I24" s="42">
        <f>E24*140.73/100</f>
        <v>211.095</v>
      </c>
    </row>
    <row r="25" spans="1:9" ht="15.75" x14ac:dyDescent="0.25">
      <c r="A25" s="13"/>
      <c r="B25" s="35" t="s">
        <v>11</v>
      </c>
      <c r="C25" s="44" t="s">
        <v>42</v>
      </c>
      <c r="D25" s="2" t="s">
        <v>51</v>
      </c>
      <c r="E25" s="31">
        <v>90</v>
      </c>
      <c r="F25" s="42">
        <f>14.2*E25/75</f>
        <v>17.04</v>
      </c>
      <c r="G25" s="43">
        <f>8.8*E25/75</f>
        <v>10.560000000000002</v>
      </c>
      <c r="H25" s="43">
        <f>12.4*E25/75</f>
        <v>14.88</v>
      </c>
      <c r="I25" s="43">
        <f>185.2*E25/75</f>
        <v>222.24</v>
      </c>
    </row>
    <row r="26" spans="1:9" ht="31.5" x14ac:dyDescent="0.25">
      <c r="A26" s="13"/>
      <c r="B26" s="36" t="s">
        <v>17</v>
      </c>
      <c r="C26" s="61" t="s">
        <v>44</v>
      </c>
      <c r="D26" s="3" t="s">
        <v>45</v>
      </c>
      <c r="E26" s="63">
        <v>200</v>
      </c>
      <c r="F26" s="63">
        <v>0.16</v>
      </c>
      <c r="G26" s="64">
        <v>0</v>
      </c>
      <c r="H26" s="64">
        <v>14.99</v>
      </c>
      <c r="I26" s="64">
        <v>60.64</v>
      </c>
    </row>
    <row r="27" spans="1:9" ht="15.75" x14ac:dyDescent="0.25">
      <c r="A27" s="13"/>
      <c r="B27" s="14"/>
      <c r="C27" s="60"/>
      <c r="D27" s="2" t="s">
        <v>46</v>
      </c>
      <c r="E27" s="32">
        <v>50</v>
      </c>
      <c r="F27" s="42">
        <f>E27*4.8/100</f>
        <v>2.4</v>
      </c>
      <c r="G27" s="43">
        <f>E27*1/100</f>
        <v>0.5</v>
      </c>
      <c r="H27" s="43">
        <f>E27*21.2/50</f>
        <v>21.2</v>
      </c>
      <c r="I27" s="43">
        <f>E27*100/50</f>
        <v>100</v>
      </c>
    </row>
    <row r="28" spans="1:9" ht="15.75" x14ac:dyDescent="0.25">
      <c r="A28" s="13"/>
      <c r="B28" s="22"/>
      <c r="C28" s="15"/>
      <c r="D28" s="22"/>
      <c r="E28" s="23"/>
      <c r="F28" s="24"/>
      <c r="G28" s="24"/>
      <c r="H28" s="39"/>
      <c r="I28" s="1"/>
    </row>
    <row r="29" spans="1:9" ht="15.75" x14ac:dyDescent="0.25">
      <c r="A29" s="13"/>
      <c r="B29" s="16"/>
      <c r="C29" s="16"/>
      <c r="D29" s="22"/>
      <c r="E29" s="22"/>
      <c r="F29" s="25"/>
      <c r="G29" s="25"/>
      <c r="H29" s="40"/>
      <c r="I29" s="1"/>
    </row>
    <row r="30" spans="1:9" ht="15.75" x14ac:dyDescent="0.25">
      <c r="A30" s="26"/>
      <c r="B30" s="22"/>
      <c r="C30" s="22"/>
      <c r="D30" s="22"/>
      <c r="E30" s="22"/>
      <c r="F30" s="22"/>
      <c r="G30" s="22"/>
      <c r="H30" s="26"/>
      <c r="I30" s="1"/>
    </row>
  </sheetData>
  <mergeCells count="4">
    <mergeCell ref="B9:D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2"/>
  <sheetViews>
    <sheetView workbookViewId="0">
      <selection activeCell="E24" sqref="E24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8.75" x14ac:dyDescent="0.3">
      <c r="A3" s="5"/>
      <c r="B3" s="5"/>
      <c r="C3" s="5"/>
      <c r="D3" s="5"/>
      <c r="G3" s="111" t="s">
        <v>20</v>
      </c>
      <c r="H3" s="111"/>
      <c r="I3" s="111"/>
    </row>
    <row r="4" spans="1:9" ht="15.75" x14ac:dyDescent="0.25">
      <c r="A4" s="5"/>
      <c r="B4" s="5"/>
      <c r="C4" s="5"/>
      <c r="D4" s="5"/>
      <c r="G4" s="112" t="s">
        <v>21</v>
      </c>
      <c r="H4" s="112"/>
      <c r="I4" s="112"/>
    </row>
    <row r="5" spans="1:9" ht="19.5" customHeight="1" x14ac:dyDescent="0.25">
      <c r="A5" s="5"/>
      <c r="B5" s="5"/>
      <c r="C5" s="5"/>
      <c r="D5" s="5"/>
      <c r="G5" s="113" t="s">
        <v>22</v>
      </c>
      <c r="H5" s="113"/>
      <c r="I5" s="113"/>
    </row>
    <row r="6" spans="1:9" ht="15.75" x14ac:dyDescent="0.25">
      <c r="A6" s="5"/>
      <c r="B6" s="5"/>
      <c r="C6" s="5"/>
      <c r="D6" s="5"/>
      <c r="E6" s="45"/>
      <c r="F6" s="45"/>
    </row>
    <row r="7" spans="1:9" ht="28.5" customHeight="1" x14ac:dyDescent="0.25">
      <c r="A7" s="5"/>
      <c r="B7" s="5"/>
      <c r="C7" s="5"/>
      <c r="D7" s="5"/>
      <c r="E7" s="45"/>
      <c r="F7" s="45"/>
    </row>
    <row r="8" spans="1:9" ht="15.75" x14ac:dyDescent="0.25">
      <c r="A8" s="5"/>
      <c r="B8" s="5"/>
      <c r="C8" s="5"/>
      <c r="D8" s="5"/>
      <c r="E8" s="5"/>
      <c r="F8" s="5"/>
      <c r="G8" s="5"/>
      <c r="H8" s="5"/>
    </row>
    <row r="9" spans="1:9" ht="15.75" x14ac:dyDescent="0.25">
      <c r="A9" s="6" t="s">
        <v>0</v>
      </c>
      <c r="B9" s="110" t="s">
        <v>16</v>
      </c>
      <c r="C9" s="110"/>
      <c r="D9" s="110"/>
      <c r="E9" s="114" t="s">
        <v>47</v>
      </c>
      <c r="F9" s="114"/>
      <c r="G9" s="114"/>
      <c r="H9" s="65">
        <v>1</v>
      </c>
      <c r="I9" s="7" t="s">
        <v>1</v>
      </c>
    </row>
    <row r="10" spans="1:9" ht="20.25" customHeight="1" thickBot="1" x14ac:dyDescent="0.3">
      <c r="A10" s="5"/>
      <c r="B10" s="10"/>
      <c r="C10" s="10"/>
      <c r="D10" s="10"/>
      <c r="E10" s="10"/>
      <c r="F10" s="10"/>
      <c r="G10" s="10"/>
      <c r="H10" s="10"/>
    </row>
    <row r="11" spans="1:9" ht="28.5" customHeight="1" x14ac:dyDescent="0.25">
      <c r="A11" s="27" t="s">
        <v>2</v>
      </c>
      <c r="B11" s="28" t="s">
        <v>3</v>
      </c>
      <c r="C11" s="28" t="s">
        <v>14</v>
      </c>
      <c r="D11" s="28" t="s">
        <v>4</v>
      </c>
      <c r="E11" s="66" t="s">
        <v>15</v>
      </c>
      <c r="F11" s="29" t="s">
        <v>23</v>
      </c>
      <c r="G11" s="29" t="s">
        <v>24</v>
      </c>
      <c r="H11" s="37" t="s">
        <v>25</v>
      </c>
      <c r="I11" s="41" t="s">
        <v>27</v>
      </c>
    </row>
    <row r="12" spans="1:9" ht="15.75" x14ac:dyDescent="0.25">
      <c r="A12" s="13"/>
      <c r="B12" s="55"/>
      <c r="C12" s="56"/>
      <c r="D12" s="2"/>
      <c r="E12" s="32"/>
      <c r="F12" s="42"/>
      <c r="G12" s="43"/>
      <c r="H12" s="43"/>
      <c r="I12" s="43"/>
    </row>
    <row r="13" spans="1:9" ht="29.25" customHeight="1" x14ac:dyDescent="0.25">
      <c r="A13" s="20" t="s">
        <v>8</v>
      </c>
      <c r="B13" s="62" t="s">
        <v>9</v>
      </c>
      <c r="C13" s="44" t="s">
        <v>36</v>
      </c>
      <c r="D13" s="3" t="s">
        <v>37</v>
      </c>
      <c r="E13" s="32">
        <v>100</v>
      </c>
      <c r="F13" s="43">
        <f>E13*1.26/100</f>
        <v>1.26</v>
      </c>
      <c r="G13" s="43">
        <f>E13*10.08/100</f>
        <v>10.08</v>
      </c>
      <c r="H13" s="43">
        <f>E13*7.76/100</f>
        <v>7.76</v>
      </c>
      <c r="I13" s="43">
        <f>E13*126.8/100</f>
        <v>126.8</v>
      </c>
    </row>
    <row r="14" spans="1:9" ht="31.5" x14ac:dyDescent="0.25">
      <c r="A14" s="13"/>
      <c r="B14" s="34" t="s">
        <v>10</v>
      </c>
      <c r="C14" s="44" t="s">
        <v>38</v>
      </c>
      <c r="D14" s="3" t="s">
        <v>39</v>
      </c>
      <c r="E14" s="31">
        <v>250</v>
      </c>
      <c r="F14" s="42">
        <f>E14*5.03/250</f>
        <v>5.03</v>
      </c>
      <c r="G14" s="42">
        <f>E14*11.3/250</f>
        <v>11.3</v>
      </c>
      <c r="H14" s="42">
        <f>E14*32.28/250</f>
        <v>32.28</v>
      </c>
      <c r="I14" s="42">
        <f>E14*149.6/250</f>
        <v>149.6</v>
      </c>
    </row>
    <row r="15" spans="1:9" ht="31.5" x14ac:dyDescent="0.25">
      <c r="A15" s="13"/>
      <c r="B15" s="35" t="s">
        <v>12</v>
      </c>
      <c r="C15" s="44" t="s">
        <v>40</v>
      </c>
      <c r="D15" s="3" t="s">
        <v>41</v>
      </c>
      <c r="E15" s="32">
        <v>180</v>
      </c>
      <c r="F15" s="42">
        <f>E15*3.68/100</f>
        <v>6.6239999999999997</v>
      </c>
      <c r="G15" s="42">
        <f>E15*3.53/100</f>
        <v>6.3540000000000001</v>
      </c>
      <c r="H15" s="42">
        <f>E15*23.55/100</f>
        <v>42.39</v>
      </c>
      <c r="I15" s="42">
        <f>E15*140.73/100</f>
        <v>253.31399999999996</v>
      </c>
    </row>
    <row r="16" spans="1:9" ht="18.75" customHeight="1" x14ac:dyDescent="0.25">
      <c r="A16" s="13"/>
      <c r="B16" s="35" t="s">
        <v>11</v>
      </c>
      <c r="C16" s="44" t="s">
        <v>42</v>
      </c>
      <c r="D16" s="2" t="s">
        <v>43</v>
      </c>
      <c r="E16" s="31">
        <v>100</v>
      </c>
      <c r="F16" s="42">
        <f>14.2*E16/75</f>
        <v>18.933333333333334</v>
      </c>
      <c r="G16" s="43">
        <f>8.8*E16/75</f>
        <v>11.733333333333334</v>
      </c>
      <c r="H16" s="43">
        <f>12.4*E16/75</f>
        <v>16.533333333333335</v>
      </c>
      <c r="I16" s="43">
        <f>185.2*E16/75</f>
        <v>246.93333333333334</v>
      </c>
    </row>
    <row r="17" spans="1:9" ht="31.5" x14ac:dyDescent="0.25">
      <c r="A17" s="13"/>
      <c r="B17" s="36" t="s">
        <v>17</v>
      </c>
      <c r="C17" s="61" t="s">
        <v>44</v>
      </c>
      <c r="D17" s="3" t="s">
        <v>45</v>
      </c>
      <c r="E17" s="63">
        <v>200</v>
      </c>
      <c r="F17" s="63">
        <v>0.16</v>
      </c>
      <c r="G17" s="64">
        <v>0</v>
      </c>
      <c r="H17" s="64">
        <v>14.99</v>
      </c>
      <c r="I17" s="64">
        <v>60.64</v>
      </c>
    </row>
    <row r="18" spans="1:9" ht="15.75" x14ac:dyDescent="0.25">
      <c r="A18" s="13"/>
      <c r="B18" s="14"/>
      <c r="C18" s="60"/>
      <c r="D18" s="2" t="s">
        <v>46</v>
      </c>
      <c r="E18" s="32">
        <v>60</v>
      </c>
      <c r="F18" s="42">
        <f>E18*4.8/100</f>
        <v>2.88</v>
      </c>
      <c r="G18" s="43">
        <f>E18*1/100</f>
        <v>0.6</v>
      </c>
      <c r="H18" s="43">
        <f>E18*21.2/50</f>
        <v>25.44</v>
      </c>
      <c r="I18" s="43">
        <f>E18*100/50</f>
        <v>120</v>
      </c>
    </row>
    <row r="19" spans="1:9" ht="15.75" x14ac:dyDescent="0.25">
      <c r="A19" s="13"/>
      <c r="B19" s="22"/>
      <c r="C19" s="15"/>
      <c r="D19" s="22"/>
      <c r="E19" s="23"/>
      <c r="F19" s="24"/>
      <c r="G19" s="24"/>
      <c r="H19" s="39"/>
      <c r="I19" s="1"/>
    </row>
    <row r="20" spans="1:9" ht="15.75" x14ac:dyDescent="0.25">
      <c r="A20" s="67" t="s">
        <v>48</v>
      </c>
      <c r="B20" s="16"/>
      <c r="C20" s="68"/>
      <c r="D20" s="2" t="s">
        <v>33</v>
      </c>
      <c r="E20" s="32">
        <v>42</v>
      </c>
      <c r="F20" s="42">
        <f>0.05*E20/50</f>
        <v>4.2000000000000003E-2</v>
      </c>
      <c r="G20" s="42">
        <f>0.05*E20/50</f>
        <v>4.2000000000000003E-2</v>
      </c>
      <c r="H20" s="42">
        <f>36.2*E20/50</f>
        <v>30.408000000000001</v>
      </c>
      <c r="I20" s="42">
        <f>177.2*E20/50</f>
        <v>148.84799999999998</v>
      </c>
    </row>
    <row r="21" spans="1:9" ht="15.75" x14ac:dyDescent="0.25">
      <c r="A21" s="26"/>
      <c r="B21" s="22"/>
      <c r="C21" s="68" t="s">
        <v>49</v>
      </c>
      <c r="D21" s="2" t="s">
        <v>34</v>
      </c>
      <c r="E21" s="32">
        <v>55</v>
      </c>
      <c r="F21" s="42">
        <f>E21*4.49/60</f>
        <v>4.1158333333333337</v>
      </c>
      <c r="G21" s="42">
        <f>E21*11.36/60</f>
        <v>10.413333333333332</v>
      </c>
      <c r="H21" s="42">
        <f>E21*37.52/60</f>
        <v>34.393333333333338</v>
      </c>
      <c r="I21" s="42">
        <f>E21*144.24/60</f>
        <v>132.22</v>
      </c>
    </row>
    <row r="22" spans="1:9" ht="15.75" x14ac:dyDescent="0.25">
      <c r="C22" s="69" t="s">
        <v>50</v>
      </c>
      <c r="D22" s="57" t="s">
        <v>35</v>
      </c>
      <c r="E22" s="58">
        <v>200</v>
      </c>
      <c r="F22" s="58">
        <v>5.59</v>
      </c>
      <c r="G22" s="58">
        <v>6.38</v>
      </c>
      <c r="H22" s="58">
        <v>9.3800000000000008</v>
      </c>
      <c r="I22" s="58">
        <v>117.31</v>
      </c>
    </row>
  </sheetData>
  <mergeCells count="5">
    <mergeCell ref="B9:D9"/>
    <mergeCell ref="E9:G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D08C-691B-4F62-BC57-47BAACD66113}">
  <dimension ref="A1:I28"/>
  <sheetViews>
    <sheetView workbookViewId="0">
      <selection activeCell="K12" sqref="K12"/>
    </sheetView>
  </sheetViews>
  <sheetFormatPr defaultRowHeight="15" x14ac:dyDescent="0.25"/>
  <cols>
    <col min="3" max="3" width="6.42578125" customWidth="1"/>
    <col min="4" max="4" width="15.42578125" customWidth="1"/>
    <col min="5" max="5" width="7" customWidth="1"/>
    <col min="6" max="6" width="6.85546875" customWidth="1"/>
    <col min="7" max="7" width="7.85546875" customWidth="1"/>
    <col min="8" max="8" width="8.5703125" customWidth="1"/>
  </cols>
  <sheetData>
    <row r="1" spans="1:9" x14ac:dyDescent="0.25">
      <c r="A1" s="115" t="s">
        <v>16</v>
      </c>
      <c r="B1" s="115"/>
      <c r="C1" s="115"/>
      <c r="D1" s="115"/>
      <c r="E1" s="115"/>
      <c r="F1" s="115"/>
      <c r="G1" s="115"/>
      <c r="H1" s="115"/>
      <c r="I1" s="115"/>
    </row>
    <row r="3" spans="1:9" ht="18.75" x14ac:dyDescent="0.3">
      <c r="A3" s="5"/>
      <c r="B3" s="5"/>
      <c r="C3" s="5"/>
      <c r="D3" s="5"/>
      <c r="G3" s="111" t="s">
        <v>20</v>
      </c>
      <c r="H3" s="111"/>
      <c r="I3" s="111"/>
    </row>
    <row r="4" spans="1:9" ht="15.75" x14ac:dyDescent="0.25">
      <c r="A4" s="5"/>
      <c r="B4" s="5"/>
      <c r="C4" s="5"/>
      <c r="D4" s="5"/>
      <c r="G4" s="112" t="s">
        <v>21</v>
      </c>
      <c r="H4" s="112"/>
      <c r="I4" s="112"/>
    </row>
    <row r="5" spans="1:9" ht="15.75" x14ac:dyDescent="0.25">
      <c r="A5" s="5"/>
      <c r="B5" s="5"/>
      <c r="C5" s="5"/>
      <c r="D5" s="5"/>
      <c r="G5" s="113" t="s">
        <v>22</v>
      </c>
      <c r="H5" s="113"/>
      <c r="I5" s="113"/>
    </row>
    <row r="6" spans="1:9" ht="15.75" x14ac:dyDescent="0.25">
      <c r="A6" s="5"/>
      <c r="B6" s="5"/>
      <c r="C6" s="5"/>
      <c r="D6" s="5"/>
      <c r="E6" s="45"/>
      <c r="F6" s="45"/>
    </row>
    <row r="7" spans="1:9" ht="15.75" x14ac:dyDescent="0.25">
      <c r="A7" s="116" t="s">
        <v>52</v>
      </c>
      <c r="B7" s="117"/>
      <c r="C7" s="117"/>
      <c r="D7" s="117"/>
      <c r="E7" s="45"/>
      <c r="F7" s="45"/>
      <c r="H7" s="118" t="s">
        <v>61</v>
      </c>
      <c r="I7" s="118"/>
    </row>
    <row r="8" spans="1:9" ht="15.75" x14ac:dyDescent="0.25">
      <c r="A8" s="5"/>
      <c r="B8" s="5"/>
      <c r="C8" s="5"/>
      <c r="D8" s="5"/>
      <c r="E8" s="5"/>
      <c r="F8" s="5"/>
      <c r="G8" s="5"/>
      <c r="H8" s="5"/>
    </row>
    <row r="9" spans="1:9" ht="15.75" x14ac:dyDescent="0.25">
      <c r="A9" s="116"/>
      <c r="B9" s="117"/>
      <c r="C9" s="117"/>
      <c r="D9" s="117"/>
      <c r="E9" s="114" t="s">
        <v>53</v>
      </c>
      <c r="F9" s="117"/>
      <c r="G9" s="117"/>
      <c r="H9" s="65">
        <v>1</v>
      </c>
      <c r="I9" t="s">
        <v>1</v>
      </c>
    </row>
    <row r="10" spans="1:9" ht="16.5" thickBot="1" x14ac:dyDescent="0.3">
      <c r="A10" s="5"/>
      <c r="B10" s="10"/>
      <c r="C10" s="10"/>
      <c r="D10" s="10"/>
      <c r="E10" s="10"/>
      <c r="F10" s="10"/>
      <c r="G10" s="10"/>
      <c r="H10" s="10"/>
    </row>
    <row r="11" spans="1:9" ht="32.25" thickBot="1" x14ac:dyDescent="0.3">
      <c r="A11" s="27" t="s">
        <v>2</v>
      </c>
      <c r="B11" s="28" t="s">
        <v>3</v>
      </c>
      <c r="C11" s="29" t="s">
        <v>14</v>
      </c>
      <c r="D11" s="28" t="s">
        <v>4</v>
      </c>
      <c r="E11" s="30" t="s">
        <v>15</v>
      </c>
      <c r="F11" s="29" t="s">
        <v>23</v>
      </c>
      <c r="G11" s="29" t="s">
        <v>24</v>
      </c>
      <c r="H11" s="37" t="s">
        <v>25</v>
      </c>
      <c r="I11" s="41" t="s">
        <v>27</v>
      </c>
    </row>
    <row r="12" spans="1:9" ht="51" customHeight="1" x14ac:dyDescent="0.25">
      <c r="A12" s="88" t="s">
        <v>5</v>
      </c>
      <c r="B12" s="89" t="s">
        <v>6</v>
      </c>
      <c r="C12" s="92" t="s">
        <v>62</v>
      </c>
      <c r="D12" s="96" t="s">
        <v>28</v>
      </c>
      <c r="E12" s="92">
        <v>150</v>
      </c>
      <c r="F12" s="93">
        <f>E12*31.04/1000</f>
        <v>4.6559999999999997</v>
      </c>
      <c r="G12" s="93">
        <f>E12*35.42/1000</f>
        <v>5.3129999999999997</v>
      </c>
      <c r="H12" s="93">
        <f>E12*154.53/1000</f>
        <v>23.179500000000001</v>
      </c>
      <c r="I12" s="93">
        <f>E12*1074.91/1000</f>
        <v>161.23650000000001</v>
      </c>
    </row>
    <row r="13" spans="1:9" ht="45" x14ac:dyDescent="0.25">
      <c r="A13" s="13"/>
      <c r="B13" s="71" t="s">
        <v>7</v>
      </c>
      <c r="C13" s="92" t="s">
        <v>64</v>
      </c>
      <c r="D13" s="96" t="s">
        <v>63</v>
      </c>
      <c r="E13" s="68">
        <v>150</v>
      </c>
      <c r="F13" s="93">
        <f>E13*2.79/200</f>
        <v>2.0924999999999998</v>
      </c>
      <c r="G13" s="93">
        <f>E13*0.04/200</f>
        <v>0.03</v>
      </c>
      <c r="H13" s="93">
        <f>E13*19.8/200</f>
        <v>14.85</v>
      </c>
      <c r="I13" s="93">
        <f>E13*90.56/200</f>
        <v>67.92</v>
      </c>
    </row>
    <row r="14" spans="1:9" ht="30" x14ac:dyDescent="0.25">
      <c r="A14" s="13"/>
      <c r="B14" s="73" t="s">
        <v>13</v>
      </c>
      <c r="C14" s="92" t="s">
        <v>65</v>
      </c>
      <c r="D14" s="97" t="s">
        <v>26</v>
      </c>
      <c r="E14" s="68">
        <v>2</v>
      </c>
      <c r="F14" s="93">
        <f>E14*0.5/100</f>
        <v>0.01</v>
      </c>
      <c r="G14" s="93">
        <f>E14*82.5/100</f>
        <v>1.65</v>
      </c>
      <c r="H14" s="93">
        <f>E14*0.8/100</f>
        <v>1.6E-2</v>
      </c>
      <c r="I14" s="93">
        <f>E14*748/100</f>
        <v>14.96</v>
      </c>
    </row>
    <row r="15" spans="1:9" ht="30" x14ac:dyDescent="0.25">
      <c r="A15" s="13"/>
      <c r="B15" s="75"/>
      <c r="C15" s="92" t="s">
        <v>55</v>
      </c>
      <c r="D15" s="97" t="s">
        <v>56</v>
      </c>
      <c r="E15" s="92">
        <v>5</v>
      </c>
      <c r="F15" s="93">
        <f>E15*25.6/100</f>
        <v>1.28</v>
      </c>
      <c r="G15" s="95">
        <f>E15*26.1/100</f>
        <v>1.3049999999999999</v>
      </c>
      <c r="H15" s="95">
        <v>0</v>
      </c>
      <c r="I15" s="95">
        <f>E15*343/100</f>
        <v>17.149999999999999</v>
      </c>
    </row>
    <row r="16" spans="1:9" ht="16.5" thickBot="1" x14ac:dyDescent="0.3">
      <c r="A16" s="17"/>
      <c r="B16" s="76"/>
      <c r="C16" s="92" t="s">
        <v>54</v>
      </c>
      <c r="D16" s="94" t="s">
        <v>31</v>
      </c>
      <c r="E16" s="68">
        <v>15</v>
      </c>
      <c r="F16" s="93">
        <f>E16*7.6/100</f>
        <v>1.1399999999999999</v>
      </c>
      <c r="G16" s="95">
        <f>E16*0.8/100</f>
        <v>0.12</v>
      </c>
      <c r="H16" s="95">
        <f>E16*49.2/100</f>
        <v>7.38</v>
      </c>
      <c r="I16" s="95">
        <f>E16*235/100</f>
        <v>35.25</v>
      </c>
    </row>
    <row r="17" spans="1:9" ht="15.75" x14ac:dyDescent="0.25">
      <c r="A17" s="13"/>
      <c r="B17" s="75"/>
      <c r="C17" s="74"/>
      <c r="D17" s="2"/>
      <c r="E17" s="32"/>
      <c r="F17" s="43"/>
      <c r="G17" s="43"/>
      <c r="H17" s="43"/>
      <c r="I17" s="43"/>
    </row>
    <row r="18" spans="1:9" ht="30" x14ac:dyDescent="0.25">
      <c r="A18" s="77" t="s">
        <v>57</v>
      </c>
      <c r="B18" s="78"/>
      <c r="C18" s="79" t="s">
        <v>67</v>
      </c>
      <c r="D18" s="97" t="s">
        <v>66</v>
      </c>
      <c r="E18" s="68">
        <v>100</v>
      </c>
      <c r="F18" s="95">
        <f>E18*0.04/100</f>
        <v>0.04</v>
      </c>
      <c r="G18" s="95">
        <f>E18*0.04/100</f>
        <v>0.04</v>
      </c>
      <c r="H18" s="95">
        <f>E18*10.4/100</f>
        <v>10.4</v>
      </c>
      <c r="I18" s="95">
        <f>E18*45/100</f>
        <v>45</v>
      </c>
    </row>
    <row r="19" spans="1:9" ht="16.5" thickBot="1" x14ac:dyDescent="0.3">
      <c r="A19" s="17"/>
      <c r="B19" s="18"/>
      <c r="C19" s="80"/>
      <c r="D19" s="33"/>
      <c r="E19" s="4"/>
      <c r="F19" s="19"/>
      <c r="G19" s="19"/>
      <c r="H19" s="38"/>
      <c r="I19" s="81"/>
    </row>
    <row r="20" spans="1:9" ht="45.75" customHeight="1" x14ac:dyDescent="0.25">
      <c r="A20" s="90" t="s">
        <v>8</v>
      </c>
      <c r="B20" s="62" t="s">
        <v>9</v>
      </c>
      <c r="C20" s="82" t="s">
        <v>74</v>
      </c>
      <c r="D20" s="91" t="s">
        <v>73</v>
      </c>
      <c r="E20" s="99">
        <v>40</v>
      </c>
      <c r="F20" s="100">
        <f>E20*1.44/100</f>
        <v>0.57599999999999996</v>
      </c>
      <c r="G20" s="100">
        <f>E20*10.1/100</f>
        <v>4.04</v>
      </c>
      <c r="H20" s="100">
        <f>E20*7.3/100</f>
        <v>2.92</v>
      </c>
      <c r="I20" s="100">
        <f>E20*126.58/100</f>
        <v>50.631999999999998</v>
      </c>
    </row>
    <row r="21" spans="1:9" ht="30" x14ac:dyDescent="0.25">
      <c r="A21" s="13"/>
      <c r="B21" s="34" t="s">
        <v>10</v>
      </c>
      <c r="C21" s="98" t="s">
        <v>75</v>
      </c>
      <c r="D21" s="91" t="s">
        <v>68</v>
      </c>
      <c r="E21" s="92">
        <v>150</v>
      </c>
      <c r="F21" s="93">
        <f>E21*8.35/1000</f>
        <v>1.2524999999999999</v>
      </c>
      <c r="G21" s="93">
        <f>E21*21.49/1000</f>
        <v>3.2234999999999996</v>
      </c>
      <c r="H21" s="93">
        <f>E21*51.08/1000</f>
        <v>7.6619999999999999</v>
      </c>
      <c r="I21" s="93">
        <f>E21*489.37/1000</f>
        <v>73.405500000000004</v>
      </c>
    </row>
    <row r="22" spans="1:9" ht="45" x14ac:dyDescent="0.25">
      <c r="A22" s="13"/>
      <c r="B22" s="101" t="s">
        <v>58</v>
      </c>
      <c r="C22" s="98" t="s">
        <v>70</v>
      </c>
      <c r="D22" s="91" t="s">
        <v>69</v>
      </c>
      <c r="E22" s="68">
        <v>100</v>
      </c>
      <c r="F22" s="93">
        <f>E22*36.87/1000</f>
        <v>3.6869999999999994</v>
      </c>
      <c r="G22" s="93">
        <f>E22*41.55/1000</f>
        <v>4.1550000000000002</v>
      </c>
      <c r="H22" s="93">
        <f>E22*225.65/1000</f>
        <v>22.565000000000001</v>
      </c>
      <c r="I22" s="93">
        <f>E22*1469.41/1000</f>
        <v>146.941</v>
      </c>
    </row>
    <row r="23" spans="1:9" ht="30" x14ac:dyDescent="0.25">
      <c r="A23" s="13"/>
      <c r="B23" s="35" t="s">
        <v>11</v>
      </c>
      <c r="C23" s="98" t="s">
        <v>72</v>
      </c>
      <c r="D23" s="91" t="s">
        <v>71</v>
      </c>
      <c r="E23" s="68">
        <v>50</v>
      </c>
      <c r="F23" s="93">
        <f>E23*17.92/100</f>
        <v>8.9600000000000009</v>
      </c>
      <c r="G23" s="93">
        <f>E23*16.86/100</f>
        <v>8.43</v>
      </c>
      <c r="H23" s="93">
        <f>E23*14.31/100</f>
        <v>7.1550000000000002</v>
      </c>
      <c r="I23" s="93">
        <f>E23*280.66/100</f>
        <v>140.33000000000001</v>
      </c>
    </row>
    <row r="24" spans="1:9" ht="55.5" customHeight="1" x14ac:dyDescent="0.25">
      <c r="A24" s="13"/>
      <c r="B24" s="36"/>
      <c r="C24" s="82" t="s">
        <v>59</v>
      </c>
      <c r="D24" s="97" t="s">
        <v>76</v>
      </c>
      <c r="E24" s="68">
        <v>150</v>
      </c>
      <c r="F24" s="93">
        <f>E24*0.48/200</f>
        <v>0.36</v>
      </c>
      <c r="G24" s="93">
        <f>E24*0.28/200</f>
        <v>0.21000000000000005</v>
      </c>
      <c r="H24" s="93">
        <f>E24*14.07/200</f>
        <v>10.5525</v>
      </c>
      <c r="I24" s="93">
        <f>E24*60.68/200</f>
        <v>45.51</v>
      </c>
    </row>
    <row r="25" spans="1:9" ht="15.75" x14ac:dyDescent="0.25">
      <c r="A25" s="13"/>
      <c r="B25" s="14"/>
      <c r="C25" s="72" t="s">
        <v>60</v>
      </c>
      <c r="D25" s="94" t="s">
        <v>46</v>
      </c>
      <c r="E25" s="68">
        <v>20</v>
      </c>
      <c r="F25" s="93">
        <f>E25*6.6/100</f>
        <v>1.32</v>
      </c>
      <c r="G25" s="95">
        <f>E25*1.2/100</f>
        <v>0.24</v>
      </c>
      <c r="H25" s="95">
        <f>E25*33.4/100</f>
        <v>6.68</v>
      </c>
      <c r="I25" s="95">
        <f>E25*174/100</f>
        <v>34.799999999999997</v>
      </c>
    </row>
    <row r="26" spans="1:9" ht="15.75" x14ac:dyDescent="0.25">
      <c r="A26" s="5"/>
      <c r="B26" s="22"/>
      <c r="C26" s="85"/>
      <c r="D26" s="84"/>
      <c r="E26" s="63"/>
      <c r="F26" s="83"/>
      <c r="G26" s="70"/>
      <c r="H26" s="70"/>
      <c r="I26" s="70"/>
    </row>
    <row r="27" spans="1:9" ht="35.25" customHeight="1" x14ac:dyDescent="0.25">
      <c r="A27" s="86" t="s">
        <v>48</v>
      </c>
      <c r="B27" s="87"/>
      <c r="C27" s="98" t="s">
        <v>78</v>
      </c>
      <c r="D27" s="104" t="s">
        <v>77</v>
      </c>
      <c r="E27" s="102">
        <v>80</v>
      </c>
      <c r="F27" s="103">
        <f>E27*5.6/65</f>
        <v>6.8923076923076927</v>
      </c>
      <c r="G27" s="103">
        <f>E27*8.6/65</f>
        <v>10.584615384615384</v>
      </c>
      <c r="H27" s="103">
        <f>E27*1.52/65</f>
        <v>1.8707692307692307</v>
      </c>
      <c r="I27" s="103">
        <f>E27*105.88/65</f>
        <v>130.31384615384616</v>
      </c>
    </row>
    <row r="28" spans="1:9" ht="30" x14ac:dyDescent="0.25">
      <c r="A28" s="1"/>
      <c r="B28" s="1"/>
      <c r="C28" s="98" t="s">
        <v>80</v>
      </c>
      <c r="D28" s="104" t="s">
        <v>79</v>
      </c>
      <c r="E28" s="102">
        <v>150</v>
      </c>
      <c r="F28" s="103">
        <f>E28*0.1/200</f>
        <v>7.4999999999999997E-2</v>
      </c>
      <c r="G28" s="103">
        <f>E28*0.03/200</f>
        <v>2.2499999999999999E-2</v>
      </c>
      <c r="H28" s="103">
        <f>E28*25.83/200</f>
        <v>19.372499999999999</v>
      </c>
      <c r="I28" s="103">
        <f>E28*104/200</f>
        <v>78</v>
      </c>
    </row>
  </sheetData>
  <mergeCells count="8">
    <mergeCell ref="A9:D9"/>
    <mergeCell ref="E9:G9"/>
    <mergeCell ref="H7:I7"/>
    <mergeCell ref="A1:I1"/>
    <mergeCell ref="G3:I3"/>
    <mergeCell ref="G4:I4"/>
    <mergeCell ref="G5:I5"/>
    <mergeCell ref="A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9E63-9CE4-4A17-803F-23DDBCC9F40D}">
  <dimension ref="A1:I28"/>
  <sheetViews>
    <sheetView tabSelected="1" zoomScale="98" workbookViewId="0">
      <selection activeCell="M9" sqref="M9"/>
    </sheetView>
  </sheetViews>
  <sheetFormatPr defaultRowHeight="15" x14ac:dyDescent="0.25"/>
  <cols>
    <col min="4" max="4" width="13.7109375" customWidth="1"/>
  </cols>
  <sheetData>
    <row r="1" spans="1:9" x14ac:dyDescent="0.25">
      <c r="A1" s="115" t="s">
        <v>16</v>
      </c>
      <c r="B1" s="115"/>
      <c r="C1" s="115"/>
      <c r="D1" s="115"/>
      <c r="E1" s="115"/>
      <c r="F1" s="115"/>
      <c r="G1" s="115"/>
      <c r="H1" s="115"/>
      <c r="I1" s="115"/>
    </row>
    <row r="3" spans="1:9" ht="18.75" x14ac:dyDescent="0.3">
      <c r="A3" s="5"/>
      <c r="B3" s="5"/>
      <c r="C3" s="5"/>
      <c r="D3" s="5"/>
      <c r="G3" s="111" t="s">
        <v>20</v>
      </c>
      <c r="H3" s="111"/>
      <c r="I3" s="111"/>
    </row>
    <row r="4" spans="1:9" ht="15.75" x14ac:dyDescent="0.25">
      <c r="A4" s="5"/>
      <c r="B4" s="5"/>
      <c r="C4" s="5"/>
      <c r="D4" s="5"/>
      <c r="G4" s="112" t="s">
        <v>21</v>
      </c>
      <c r="H4" s="112"/>
      <c r="I4" s="112"/>
    </row>
    <row r="5" spans="1:9" ht="15.75" x14ac:dyDescent="0.25">
      <c r="A5" s="5"/>
      <c r="B5" s="5"/>
      <c r="C5" s="5"/>
      <c r="D5" s="5"/>
      <c r="G5" s="113" t="s">
        <v>22</v>
      </c>
      <c r="H5" s="113"/>
      <c r="I5" s="113"/>
    </row>
    <row r="6" spans="1:9" ht="15.75" x14ac:dyDescent="0.25">
      <c r="A6" s="5"/>
      <c r="B6" s="5"/>
      <c r="C6" s="5"/>
      <c r="D6" s="5"/>
      <c r="E6" s="45"/>
      <c r="F6" s="45"/>
    </row>
    <row r="7" spans="1:9" ht="15.75" x14ac:dyDescent="0.25">
      <c r="A7" s="116" t="s">
        <v>52</v>
      </c>
      <c r="B7" s="117"/>
      <c r="C7" s="117"/>
      <c r="D7" s="117"/>
      <c r="E7" s="45"/>
      <c r="F7" s="45"/>
      <c r="H7" s="118" t="s">
        <v>61</v>
      </c>
      <c r="I7" s="118"/>
    </row>
    <row r="8" spans="1:9" ht="15.75" x14ac:dyDescent="0.25">
      <c r="A8" s="5"/>
      <c r="B8" s="5"/>
      <c r="C8" s="5"/>
      <c r="D8" s="5"/>
      <c r="E8" s="5"/>
      <c r="F8" s="5"/>
      <c r="G8" s="5"/>
      <c r="H8" s="5"/>
    </row>
    <row r="9" spans="1:9" ht="15.75" x14ac:dyDescent="0.25">
      <c r="A9" s="116"/>
      <c r="B9" s="117"/>
      <c r="C9" s="117"/>
      <c r="D9" s="117"/>
      <c r="E9" s="114" t="s">
        <v>81</v>
      </c>
      <c r="F9" s="117"/>
      <c r="G9" s="117"/>
      <c r="H9" s="65">
        <v>1</v>
      </c>
      <c r="I9" t="s">
        <v>1</v>
      </c>
    </row>
    <row r="10" spans="1:9" ht="16.5" thickBot="1" x14ac:dyDescent="0.3">
      <c r="A10" s="5"/>
      <c r="B10" s="10"/>
      <c r="C10" s="10"/>
      <c r="D10" s="10"/>
      <c r="E10" s="10"/>
      <c r="F10" s="10"/>
      <c r="G10" s="10"/>
      <c r="H10" s="10"/>
    </row>
    <row r="11" spans="1:9" ht="32.25" thickBot="1" x14ac:dyDescent="0.3">
      <c r="A11" s="27" t="s">
        <v>2</v>
      </c>
      <c r="B11" s="28" t="s">
        <v>3</v>
      </c>
      <c r="C11" s="29" t="s">
        <v>14</v>
      </c>
      <c r="D11" s="28" t="s">
        <v>4</v>
      </c>
      <c r="E11" s="30" t="s">
        <v>15</v>
      </c>
      <c r="F11" s="29" t="s">
        <v>23</v>
      </c>
      <c r="G11" s="29" t="s">
        <v>24</v>
      </c>
      <c r="H11" s="37" t="s">
        <v>25</v>
      </c>
      <c r="I11" s="41" t="s">
        <v>27</v>
      </c>
    </row>
    <row r="12" spans="1:9" ht="45" customHeight="1" x14ac:dyDescent="0.25">
      <c r="A12" s="88" t="s">
        <v>5</v>
      </c>
      <c r="B12" s="89" t="s">
        <v>6</v>
      </c>
      <c r="C12" s="92" t="s">
        <v>62</v>
      </c>
      <c r="D12" s="96" t="s">
        <v>28</v>
      </c>
      <c r="E12" s="92">
        <v>180</v>
      </c>
      <c r="F12" s="93">
        <f>E12*31.04/1000</f>
        <v>5.5872000000000002</v>
      </c>
      <c r="G12" s="93">
        <f>E12*35.42/1000</f>
        <v>6.3756000000000004</v>
      </c>
      <c r="H12" s="93">
        <f>E12*154.53/1000</f>
        <v>27.8154</v>
      </c>
      <c r="I12" s="93">
        <f>E12*1074.91/1000</f>
        <v>193.48380000000003</v>
      </c>
    </row>
    <row r="13" spans="1:9" ht="45.75" customHeight="1" x14ac:dyDescent="0.25">
      <c r="A13" s="13"/>
      <c r="B13" s="71" t="s">
        <v>7</v>
      </c>
      <c r="C13" s="92" t="s">
        <v>64</v>
      </c>
      <c r="D13" s="96" t="s">
        <v>63</v>
      </c>
      <c r="E13" s="68">
        <v>180</v>
      </c>
      <c r="F13" s="93">
        <f>E13*2.79/200</f>
        <v>2.5110000000000001</v>
      </c>
      <c r="G13" s="93">
        <f>E13*0.04/200</f>
        <v>3.6000000000000004E-2</v>
      </c>
      <c r="H13" s="93">
        <f>E13*19.8/200</f>
        <v>17.82</v>
      </c>
      <c r="I13" s="93">
        <f>E13*90.56/200</f>
        <v>81.504000000000005</v>
      </c>
    </row>
    <row r="14" spans="1:9" ht="28.5" customHeight="1" x14ac:dyDescent="0.25">
      <c r="A14" s="13"/>
      <c r="B14" s="73" t="s">
        <v>13</v>
      </c>
      <c r="C14" s="92" t="s">
        <v>65</v>
      </c>
      <c r="D14" s="97" t="s">
        <v>26</v>
      </c>
      <c r="E14" s="68">
        <v>4</v>
      </c>
      <c r="F14" s="93">
        <f>E14*0.5/100</f>
        <v>0.02</v>
      </c>
      <c r="G14" s="93">
        <f>E14*82.5/100</f>
        <v>3.3</v>
      </c>
      <c r="H14" s="93">
        <f>E14*0.8/100</f>
        <v>3.2000000000000001E-2</v>
      </c>
      <c r="I14" s="93">
        <f>E14*748/100</f>
        <v>29.92</v>
      </c>
    </row>
    <row r="15" spans="1:9" ht="42.75" customHeight="1" x14ac:dyDescent="0.25">
      <c r="A15" s="13"/>
      <c r="B15" s="75"/>
      <c r="C15" s="92" t="s">
        <v>55</v>
      </c>
      <c r="D15" s="97" t="s">
        <v>56</v>
      </c>
      <c r="E15" s="92">
        <v>5</v>
      </c>
      <c r="F15" s="93">
        <f>E15*25.6/100</f>
        <v>1.28</v>
      </c>
      <c r="G15" s="95">
        <f>E15*26.1/100</f>
        <v>1.3049999999999999</v>
      </c>
      <c r="H15" s="95">
        <v>0</v>
      </c>
      <c r="I15" s="95">
        <f>E15*343/100</f>
        <v>17.149999999999999</v>
      </c>
    </row>
    <row r="16" spans="1:9" ht="16.5" thickBot="1" x14ac:dyDescent="0.3">
      <c r="A16" s="17"/>
      <c r="B16" s="76"/>
      <c r="C16" s="92" t="s">
        <v>54</v>
      </c>
      <c r="D16" s="94" t="s">
        <v>31</v>
      </c>
      <c r="E16" s="68">
        <v>30</v>
      </c>
      <c r="F16" s="93">
        <f>E16*7.6/100</f>
        <v>2.2799999999999998</v>
      </c>
      <c r="G16" s="95">
        <f>E16*0.8/100</f>
        <v>0.24</v>
      </c>
      <c r="H16" s="95">
        <f>E16*49.2/100</f>
        <v>14.76</v>
      </c>
      <c r="I16" s="95">
        <f>E16*235/100</f>
        <v>70.5</v>
      </c>
    </row>
    <row r="17" spans="1:9" ht="15.75" x14ac:dyDescent="0.25">
      <c r="A17" s="13"/>
      <c r="B17" s="75"/>
      <c r="C17" s="74"/>
      <c r="D17" s="2"/>
      <c r="E17" s="32"/>
      <c r="F17" s="43"/>
      <c r="G17" s="43"/>
      <c r="H17" s="43"/>
      <c r="I17" s="43"/>
    </row>
    <row r="18" spans="1:9" ht="45" x14ac:dyDescent="0.25">
      <c r="A18" s="77" t="s">
        <v>57</v>
      </c>
      <c r="B18" s="78"/>
      <c r="C18" s="79" t="s">
        <v>67</v>
      </c>
      <c r="D18" s="97" t="s">
        <v>66</v>
      </c>
      <c r="E18" s="68">
        <v>100</v>
      </c>
      <c r="F18" s="95">
        <f>E18*0.04/100</f>
        <v>0.04</v>
      </c>
      <c r="G18" s="95">
        <f>E18*0.04/100</f>
        <v>0.04</v>
      </c>
      <c r="H18" s="95">
        <f>E18*10.4/100</f>
        <v>10.4</v>
      </c>
      <c r="I18" s="95">
        <f>E18*45/100</f>
        <v>45</v>
      </c>
    </row>
    <row r="19" spans="1:9" ht="16.5" thickBot="1" x14ac:dyDescent="0.3">
      <c r="A19" s="17"/>
      <c r="B19" s="18"/>
      <c r="C19" s="80"/>
      <c r="D19" s="33"/>
      <c r="E19" s="4"/>
      <c r="F19" s="19"/>
      <c r="G19" s="19"/>
      <c r="H19" s="38"/>
      <c r="I19" s="81"/>
    </row>
    <row r="20" spans="1:9" ht="48.75" customHeight="1" x14ac:dyDescent="0.25">
      <c r="A20" s="90" t="s">
        <v>8</v>
      </c>
      <c r="B20" s="62" t="s">
        <v>9</v>
      </c>
      <c r="C20" s="106" t="s">
        <v>74</v>
      </c>
      <c r="D20" s="91" t="s">
        <v>73</v>
      </c>
      <c r="E20" s="99">
        <v>60</v>
      </c>
      <c r="F20" s="100">
        <f>E20*1.44/100</f>
        <v>0.86399999999999988</v>
      </c>
      <c r="G20" s="100">
        <f>E20*10.1/100</f>
        <v>6.06</v>
      </c>
      <c r="H20" s="100">
        <f>E20*7.3/100</f>
        <v>4.38</v>
      </c>
      <c r="I20" s="100">
        <f>E20*126.58/100</f>
        <v>75.948000000000008</v>
      </c>
    </row>
    <row r="21" spans="1:9" ht="42.75" customHeight="1" x14ac:dyDescent="0.25">
      <c r="A21" s="13"/>
      <c r="B21" s="34" t="s">
        <v>10</v>
      </c>
      <c r="C21" s="107" t="s">
        <v>75</v>
      </c>
      <c r="D21" s="91" t="s">
        <v>68</v>
      </c>
      <c r="E21" s="92">
        <v>180</v>
      </c>
      <c r="F21" s="93">
        <f>E21*8.35/1000</f>
        <v>1.5029999999999999</v>
      </c>
      <c r="G21" s="93">
        <f>E21*21.49/1000</f>
        <v>3.8681999999999999</v>
      </c>
      <c r="H21" s="93">
        <f>E21*51.08/1000</f>
        <v>9.1943999999999999</v>
      </c>
      <c r="I21" s="93">
        <f>E21*489.37/1000</f>
        <v>88.086600000000004</v>
      </c>
    </row>
    <row r="22" spans="1:9" ht="45.75" customHeight="1" x14ac:dyDescent="0.25">
      <c r="A22" s="13"/>
      <c r="B22" s="101" t="s">
        <v>58</v>
      </c>
      <c r="C22" s="107" t="s">
        <v>70</v>
      </c>
      <c r="D22" s="91" t="s">
        <v>69</v>
      </c>
      <c r="E22" s="68">
        <v>110</v>
      </c>
      <c r="F22" s="93">
        <f>E22*36.87/1000</f>
        <v>4.0556999999999999</v>
      </c>
      <c r="G22" s="93">
        <f>E22*41.55/1000</f>
        <v>4.5705</v>
      </c>
      <c r="H22" s="93">
        <f>E22*225.65/1000</f>
        <v>24.8215</v>
      </c>
      <c r="I22" s="93">
        <f>E22*1469.41/1000</f>
        <v>161.63509999999999</v>
      </c>
    </row>
    <row r="23" spans="1:9" ht="30" x14ac:dyDescent="0.25">
      <c r="A23" s="13"/>
      <c r="B23" s="35" t="s">
        <v>11</v>
      </c>
      <c r="C23" s="107" t="s">
        <v>72</v>
      </c>
      <c r="D23" s="91" t="s">
        <v>71</v>
      </c>
      <c r="E23" s="68">
        <v>70</v>
      </c>
      <c r="F23" s="93">
        <f>E23*17.92/100</f>
        <v>12.544</v>
      </c>
      <c r="G23" s="93">
        <f>E23*16.86/100</f>
        <v>11.802</v>
      </c>
      <c r="H23" s="93">
        <f>E23*14.31/100</f>
        <v>10.017000000000001</v>
      </c>
      <c r="I23" s="93">
        <f>E23*280.66/100</f>
        <v>196.46200000000002</v>
      </c>
    </row>
    <row r="24" spans="1:9" ht="54.75" customHeight="1" x14ac:dyDescent="0.25">
      <c r="A24" s="13"/>
      <c r="B24" s="36"/>
      <c r="C24" s="106" t="s">
        <v>59</v>
      </c>
      <c r="D24" s="97" t="s">
        <v>76</v>
      </c>
      <c r="E24" s="99">
        <v>180</v>
      </c>
      <c r="F24" s="105">
        <f>E24*0.48/200</f>
        <v>0.43199999999999994</v>
      </c>
      <c r="G24" s="105">
        <f>E24*0.28/200</f>
        <v>0.252</v>
      </c>
      <c r="H24" s="105">
        <f>E24*14.07/200</f>
        <v>12.663</v>
      </c>
      <c r="I24" s="105">
        <f>E24*60.68/200</f>
        <v>54.611999999999995</v>
      </c>
    </row>
    <row r="25" spans="1:9" ht="15.75" x14ac:dyDescent="0.25">
      <c r="A25" s="13"/>
      <c r="B25" s="14"/>
      <c r="C25" s="108" t="s">
        <v>60</v>
      </c>
      <c r="D25" s="94" t="s">
        <v>46</v>
      </c>
      <c r="E25" s="99">
        <v>35</v>
      </c>
      <c r="F25" s="105">
        <f>E25*6.6/100</f>
        <v>2.31</v>
      </c>
      <c r="G25" s="100">
        <f>E25*1.2/100</f>
        <v>0.42</v>
      </c>
      <c r="H25" s="100">
        <f>E25*33.4/100</f>
        <v>11.69</v>
      </c>
      <c r="I25" s="100">
        <f>E25*174/100</f>
        <v>60.9</v>
      </c>
    </row>
    <row r="26" spans="1:9" ht="15.75" x14ac:dyDescent="0.25">
      <c r="A26" s="5"/>
      <c r="B26" s="22"/>
      <c r="C26" s="109"/>
      <c r="D26" s="84"/>
      <c r="E26" s="63"/>
      <c r="F26" s="83"/>
      <c r="G26" s="70"/>
      <c r="H26" s="70"/>
      <c r="I26" s="70"/>
    </row>
    <row r="27" spans="1:9" ht="29.25" customHeight="1" x14ac:dyDescent="0.25">
      <c r="A27" s="86" t="s">
        <v>48</v>
      </c>
      <c r="B27" s="87"/>
      <c r="C27" s="107" t="s">
        <v>78</v>
      </c>
      <c r="D27" s="104" t="s">
        <v>77</v>
      </c>
      <c r="E27" s="102">
        <v>100</v>
      </c>
      <c r="F27" s="103">
        <f>E27*5.6/65</f>
        <v>8.615384615384615</v>
      </c>
      <c r="G27" s="103">
        <f>E27*8.6/65</f>
        <v>13.23076923076923</v>
      </c>
      <c r="H27" s="103">
        <f>E27*1.52/65</f>
        <v>2.3384615384615386</v>
      </c>
      <c r="I27" s="103">
        <f>E27*105.88/65</f>
        <v>162.8923076923077</v>
      </c>
    </row>
    <row r="28" spans="1:9" ht="31.5" customHeight="1" x14ac:dyDescent="0.25">
      <c r="A28" s="1"/>
      <c r="B28" s="1"/>
      <c r="C28" s="107" t="s">
        <v>80</v>
      </c>
      <c r="D28" s="104" t="s">
        <v>79</v>
      </c>
      <c r="E28" s="102">
        <v>180</v>
      </c>
      <c r="F28" s="103">
        <f>E28*0.1/200</f>
        <v>0.09</v>
      </c>
      <c r="G28" s="103">
        <f>E28*0.03/200</f>
        <v>2.6999999999999996E-2</v>
      </c>
      <c r="H28" s="103">
        <f>E28*25.83/200</f>
        <v>23.247</v>
      </c>
      <c r="I28" s="103">
        <f>E28*104/200</f>
        <v>93.6</v>
      </c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2025-09-04T16:47:38Z</cp:lastPrinted>
  <dcterms:created xsi:type="dcterms:W3CDTF">2015-06-05T18:19:34Z</dcterms:created>
  <dcterms:modified xsi:type="dcterms:W3CDTF">2025-10-05T17:12:31Z</dcterms:modified>
</cp:coreProperties>
</file>