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октябрь\"/>
    </mc:Choice>
  </mc:AlternateContent>
  <xr:revisionPtr revIDLastSave="0" documentId="13_ncr:1_{6D9B06B8-D712-4C19-9D90-81E40F2A6F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7-11 лет" sheetId="1" r:id="rId1"/>
    <sheet name="12 и старше" sheetId="2" r:id="rId2"/>
    <sheet name="до 3 лет" sheetId="3" r:id="rId3"/>
    <sheet name="3-7 лет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2" l="1"/>
  <c r="H21" i="2"/>
  <c r="G21" i="2"/>
  <c r="F21" i="2"/>
  <c r="I28" i="4"/>
  <c r="H28" i="4"/>
  <c r="I27" i="4"/>
  <c r="H27" i="4"/>
  <c r="G27" i="4"/>
  <c r="F27" i="4"/>
  <c r="I25" i="4"/>
  <c r="H25" i="4"/>
  <c r="G25" i="4"/>
  <c r="F25" i="4"/>
  <c r="I24" i="4"/>
  <c r="H24" i="4"/>
  <c r="G24" i="4"/>
  <c r="F24" i="4"/>
  <c r="I23" i="4"/>
  <c r="H23" i="4"/>
  <c r="G23" i="4"/>
  <c r="F23" i="4"/>
  <c r="I22" i="4"/>
  <c r="H22" i="4"/>
  <c r="G22" i="4"/>
  <c r="F22" i="4"/>
  <c r="I21" i="4"/>
  <c r="H21" i="4"/>
  <c r="G21" i="4"/>
  <c r="F21" i="4"/>
  <c r="I20" i="4"/>
  <c r="H20" i="4"/>
  <c r="G20" i="4"/>
  <c r="F20" i="4"/>
  <c r="I18" i="4"/>
  <c r="H18" i="4"/>
  <c r="G18" i="4"/>
  <c r="F18" i="4"/>
  <c r="I16" i="4"/>
  <c r="G16" i="4"/>
  <c r="F16" i="4"/>
  <c r="I15" i="4"/>
  <c r="H15" i="4"/>
  <c r="G15" i="4"/>
  <c r="F15" i="4"/>
  <c r="I14" i="4"/>
  <c r="H14" i="4"/>
  <c r="G14" i="4"/>
  <c r="F14" i="4"/>
  <c r="I13" i="4"/>
  <c r="H13" i="4"/>
  <c r="G13" i="4"/>
  <c r="F13" i="4"/>
  <c r="I12" i="4"/>
  <c r="H12" i="4"/>
  <c r="G12" i="4"/>
  <c r="F12" i="4"/>
  <c r="I28" i="3"/>
  <c r="H28" i="3"/>
  <c r="I27" i="3"/>
  <c r="H27" i="3"/>
  <c r="G27" i="3"/>
  <c r="F27" i="3"/>
  <c r="I25" i="3"/>
  <c r="H25" i="3"/>
  <c r="G25" i="3"/>
  <c r="F25" i="3"/>
  <c r="I24" i="3"/>
  <c r="H24" i="3"/>
  <c r="G24" i="3"/>
  <c r="F24" i="3"/>
  <c r="I23" i="3"/>
  <c r="H23" i="3"/>
  <c r="G23" i="3"/>
  <c r="F23" i="3"/>
  <c r="I22" i="3"/>
  <c r="H22" i="3"/>
  <c r="G22" i="3"/>
  <c r="F22" i="3"/>
  <c r="I21" i="3"/>
  <c r="H21" i="3"/>
  <c r="G21" i="3"/>
  <c r="F21" i="3"/>
  <c r="I20" i="3"/>
  <c r="H20" i="3"/>
  <c r="G20" i="3"/>
  <c r="F20" i="3"/>
  <c r="I18" i="3"/>
  <c r="H18" i="3"/>
  <c r="G18" i="3"/>
  <c r="F18" i="3"/>
  <c r="I16" i="3"/>
  <c r="G16" i="3"/>
  <c r="F16" i="3"/>
  <c r="I15" i="3"/>
  <c r="H15" i="3"/>
  <c r="G15" i="3"/>
  <c r="F15" i="3"/>
  <c r="I14" i="3"/>
  <c r="H14" i="3"/>
  <c r="G14" i="3"/>
  <c r="F14" i="3"/>
  <c r="I13" i="3"/>
  <c r="H13" i="3"/>
  <c r="G13" i="3"/>
  <c r="F13" i="3"/>
  <c r="I12" i="3"/>
  <c r="H12" i="3"/>
  <c r="G12" i="3"/>
  <c r="F12" i="3"/>
  <c r="I19" i="2" l="1"/>
  <c r="H19" i="2"/>
  <c r="G19" i="2"/>
  <c r="F19" i="2"/>
  <c r="I18" i="2"/>
  <c r="H18" i="2"/>
  <c r="G18" i="2"/>
  <c r="F18" i="2"/>
  <c r="I16" i="2"/>
  <c r="H16" i="2"/>
  <c r="G16" i="2"/>
  <c r="F16" i="2"/>
  <c r="I15" i="2"/>
  <c r="H15" i="2"/>
  <c r="G15" i="2"/>
  <c r="F15" i="2"/>
  <c r="I14" i="2"/>
  <c r="H14" i="2"/>
  <c r="G14" i="2"/>
  <c r="F14" i="2"/>
  <c r="I27" i="1"/>
  <c r="H27" i="1"/>
  <c r="G27" i="1"/>
  <c r="F27" i="1"/>
  <c r="I26" i="1"/>
  <c r="H26" i="1"/>
  <c r="G26" i="1"/>
  <c r="F26" i="1"/>
  <c r="I24" i="1"/>
  <c r="H24" i="1"/>
  <c r="G24" i="1"/>
  <c r="F24" i="1"/>
  <c r="I23" i="1"/>
  <c r="H23" i="1"/>
  <c r="G23" i="1"/>
  <c r="F23" i="1"/>
  <c r="I22" i="1"/>
  <c r="H22" i="1"/>
  <c r="G22" i="1"/>
  <c r="F22" i="1"/>
  <c r="I17" i="1"/>
  <c r="H17" i="1"/>
  <c r="G17" i="1"/>
  <c r="F17" i="1"/>
  <c r="I16" i="1"/>
  <c r="H16" i="1"/>
  <c r="G16" i="1"/>
  <c r="F16" i="1"/>
  <c r="I15" i="1"/>
  <c r="G15" i="1"/>
  <c r="F15" i="1"/>
  <c r="I14" i="1"/>
  <c r="H14" i="1"/>
  <c r="G14" i="1"/>
  <c r="F14" i="1"/>
  <c r="I12" i="1"/>
  <c r="H12" i="1"/>
  <c r="G12" i="1"/>
  <c r="F12" i="1"/>
</calcChain>
</file>

<file path=xl/sharedStrings.xml><?xml version="1.0" encoding="utf-8"?>
<sst xmlns="http://schemas.openxmlformats.org/spreadsheetml/2006/main" count="182" uniqueCount="71">
  <si>
    <t>Школа</t>
  </si>
  <si>
    <t>День</t>
  </si>
  <si>
    <t>Прием пищи</t>
  </si>
  <si>
    <t>Раздел</t>
  </si>
  <si>
    <t>Блюдо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</si>
  <si>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</si>
  <si>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</si>
  <si>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</si>
  <si>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</si>
  <si>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</si>
  <si>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</si>
  <si>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</si>
  <si>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№ рец.</t>
  </si>
  <si>
    <t>Выход, г</t>
  </si>
  <si>
    <t>МБОУ "КСОШ им.Героя РФ С.В.Перца"</t>
  </si>
  <si>
    <t xml:space="preserve">компот </t>
  </si>
  <si>
    <t>7-11 лет</t>
  </si>
  <si>
    <t>Утверждено</t>
  </si>
  <si>
    <t>Директор школы</t>
  </si>
  <si>
    <t>_____Ю.П.Артиева</t>
  </si>
  <si>
    <t>Б</t>
  </si>
  <si>
    <t>Ж</t>
  </si>
  <si>
    <t>У</t>
  </si>
  <si>
    <t>хлеб пшеничный</t>
  </si>
  <si>
    <t>сок фруктовый</t>
  </si>
  <si>
    <t>хлеб пшеничн.</t>
  </si>
  <si>
    <t>хлеб ржаной</t>
  </si>
  <si>
    <t>12 и старше</t>
  </si>
  <si>
    <t>кофейный напиток на сгущенном молоке</t>
  </si>
  <si>
    <t>Масло сливочное</t>
  </si>
  <si>
    <t>сыр</t>
  </si>
  <si>
    <t>булочка дорожная</t>
  </si>
  <si>
    <t>картофельная запеканка с мясом</t>
  </si>
  <si>
    <t>Компот из плодов или ягод сушеных (изюм)</t>
  </si>
  <si>
    <t>кКал</t>
  </si>
  <si>
    <t>Суп молочный с макаронными изделиями</t>
  </si>
  <si>
    <t>Полдник</t>
  </si>
  <si>
    <t>Овощи натуральные (помидор)</t>
  </si>
  <si>
    <t>Суп картофельный с рыбой</t>
  </si>
  <si>
    <t>Картофельная запеканка с мясом</t>
  </si>
  <si>
    <t>Соус сметанный</t>
  </si>
  <si>
    <t>Кофейный напиток на сгущенном молоке</t>
  </si>
  <si>
    <t>Дошкольное отделение</t>
  </si>
  <si>
    <t>Понедельник</t>
  </si>
  <si>
    <t>до 3 лет</t>
  </si>
  <si>
    <t>хлеб</t>
  </si>
  <si>
    <t>Хлеб пшеничный</t>
  </si>
  <si>
    <t>II завтрак:</t>
  </si>
  <si>
    <t>№532</t>
  </si>
  <si>
    <t>Сок фруктовый</t>
  </si>
  <si>
    <t>№123</t>
  </si>
  <si>
    <t>Хлеб ржаной</t>
  </si>
  <si>
    <t>№ 180</t>
  </si>
  <si>
    <t>№ 512</t>
  </si>
  <si>
    <t>№ 119</t>
  </si>
  <si>
    <t>№ 122</t>
  </si>
  <si>
    <t>Сыр сычужный твердый</t>
  </si>
  <si>
    <t>№ 114</t>
  </si>
  <si>
    <t>№120</t>
  </si>
  <si>
    <t>№165</t>
  </si>
  <si>
    <t>№387</t>
  </si>
  <si>
    <t>№454</t>
  </si>
  <si>
    <t>Компот из  плодов или ягод сушеных (изюм)</t>
  </si>
  <si>
    <t>№526</t>
  </si>
  <si>
    <t>Оладьи с джемом</t>
  </si>
  <si>
    <t>Чай с сахаром</t>
  </si>
  <si>
    <t>№551</t>
  </si>
  <si>
    <t>№505</t>
  </si>
  <si>
    <t>№ 313</t>
  </si>
  <si>
    <t>№ 293</t>
  </si>
  <si>
    <t>3-7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</si>
</sst>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Arial Cyr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127">
    <xf numFmtId="0" fontId="0" fillId="0" borderId="0" xfId="0"/>
    <xf numFmtId="0" fontId="0" fillId="0" borderId="1" xfId="0" applyBorder="1"/>
    <xf numFmtId="0" fontId="1" fillId="0" borderId="3" xfId="0" applyFont="1" applyBorder="1"/>
    <xf numFmtId="0" fontId="1" fillId="0" borderId="3" xfId="0" applyFont="1" applyBorder="1" applyAlignment="1">
      <alignment wrapText="1"/>
    </xf>
    <xf numFmtId="0" fontId="1" fillId="0" borderId="12" xfId="0" applyFont="1" applyBorder="1" applyAlignment="1">
      <alignment horizontal="center"/>
    </xf>
    <xf numFmtId="0" fontId="1" fillId="0" borderId="1" xfId="1" applyFont="1" applyBorder="1" applyAlignment="1">
      <alignment horizontal="center"/>
    </xf>
    <xf numFmtId="0" fontId="6" fillId="0" borderId="0" xfId="0" applyFont="1"/>
    <xf numFmtId="0" fontId="7" fillId="0" borderId="0" xfId="0" applyFont="1"/>
    <xf numFmtId="0" fontId="7" fillId="2" borderId="0" xfId="0" applyFont="1" applyFill="1"/>
    <xf numFmtId="0" fontId="7" fillId="2" borderId="0" xfId="0" applyFont="1" applyFill="1" applyAlignment="1">
      <alignment horizontal="center"/>
    </xf>
    <xf numFmtId="14" fontId="7" fillId="2" borderId="0" xfId="0" applyNumberFormat="1" applyFont="1" applyFill="1" applyProtection="1">
      <protection locked="0"/>
    </xf>
    <xf numFmtId="0" fontId="6" fillId="2" borderId="0" xfId="0" applyFont="1" applyFill="1"/>
    <xf numFmtId="0" fontId="7" fillId="0" borderId="5" xfId="0" applyFont="1" applyBorder="1"/>
    <xf numFmtId="0" fontId="6" fillId="2" borderId="6" xfId="0" applyFont="1" applyFill="1" applyBorder="1"/>
    <xf numFmtId="0" fontId="6" fillId="0" borderId="7" xfId="0" applyFont="1" applyBorder="1"/>
    <xf numFmtId="0" fontId="6" fillId="2" borderId="1" xfId="0" applyFont="1" applyFill="1" applyBorder="1"/>
    <xf numFmtId="0" fontId="6" fillId="2" borderId="1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6" fillId="0" borderId="8" xfId="0" applyFont="1" applyBorder="1"/>
    <xf numFmtId="0" fontId="6" fillId="2" borderId="9" xfId="0" applyFont="1" applyFill="1" applyBorder="1" applyProtection="1">
      <protection locked="0"/>
    </xf>
    <xf numFmtId="1" fontId="6" fillId="2" borderId="9" xfId="0" applyNumberFormat="1" applyFont="1" applyFill="1" applyBorder="1" applyAlignment="1" applyProtection="1">
      <alignment horizontal="center"/>
      <protection locked="0"/>
    </xf>
    <xf numFmtId="0" fontId="7" fillId="0" borderId="7" xfId="0" applyFont="1" applyBorder="1"/>
    <xf numFmtId="0" fontId="6" fillId="2" borderId="4" xfId="0" applyFont="1" applyFill="1" applyBorder="1"/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1" fontId="6" fillId="2" borderId="12" xfId="0" applyNumberFormat="1" applyFont="1" applyFill="1" applyBorder="1" applyProtection="1">
      <protection locked="0"/>
    </xf>
    <xf numFmtId="0" fontId="6" fillId="0" borderId="2" xfId="0" applyFont="1" applyBorder="1"/>
    <xf numFmtId="0" fontId="7" fillId="0" borderId="10" xfId="0" applyFont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right"/>
    </xf>
    <xf numFmtId="0" fontId="1" fillId="0" borderId="1" xfId="0" applyFont="1" applyBorder="1"/>
    <xf numFmtId="0" fontId="3" fillId="0" borderId="1" xfId="1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1" xfId="0" applyFont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12" xfId="0" applyFont="1" applyFill="1" applyBorder="1" applyAlignment="1" applyProtection="1">
      <alignment vertical="center"/>
      <protection locked="0"/>
    </xf>
    <xf numFmtId="0" fontId="5" fillId="2" borderId="13" xfId="0" applyFont="1" applyFill="1" applyBorder="1" applyAlignment="1">
      <alignment horizontal="center" vertical="center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1" fontId="6" fillId="2" borderId="14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Alignment="1" applyProtection="1">
      <alignment horizontal="center"/>
      <protection locked="0"/>
    </xf>
    <xf numFmtId="1" fontId="6" fillId="2" borderId="15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center" vertic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6" fillId="2" borderId="4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right"/>
    </xf>
    <xf numFmtId="0" fontId="1" fillId="2" borderId="3" xfId="0" applyFont="1" applyFill="1" applyBorder="1"/>
    <xf numFmtId="0" fontId="6" fillId="2" borderId="6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0" borderId="3" xfId="0" applyFont="1" applyBorder="1" applyAlignment="1">
      <alignment horizontal="left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0" borderId="7" xfId="0" applyFont="1" applyBorder="1" applyAlignment="1">
      <alignment vertical="center"/>
    </xf>
    <xf numFmtId="0" fontId="9" fillId="2" borderId="11" xfId="0" applyFont="1" applyFill="1" applyBorder="1" applyAlignment="1">
      <alignment horizontal="center" vertical="center" wrapText="1"/>
    </xf>
    <xf numFmtId="0" fontId="7" fillId="2" borderId="0" xfId="0" applyFont="1" applyFill="1" applyAlignment="1" applyProtection="1">
      <alignment horizontal="center"/>
      <protection locked="0"/>
    </xf>
    <xf numFmtId="0" fontId="12" fillId="2" borderId="11" xfId="0" applyFont="1" applyFill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8" fillId="2" borderId="3" xfId="0" applyFont="1" applyFill="1" applyBorder="1"/>
    <xf numFmtId="0" fontId="8" fillId="0" borderId="1" xfId="0" applyFont="1" applyBorder="1" applyAlignment="1">
      <alignment horizontal="right"/>
    </xf>
    <xf numFmtId="2" fontId="8" fillId="0" borderId="1" xfId="0" applyNumberFormat="1" applyFont="1" applyBorder="1"/>
    <xf numFmtId="0" fontId="4" fillId="2" borderId="1" xfId="0" applyFont="1" applyFill="1" applyBorder="1" applyAlignment="1">
      <alignment vertical="center" wrapText="1"/>
    </xf>
    <xf numFmtId="0" fontId="8" fillId="0" borderId="1" xfId="0" applyFont="1" applyBorder="1"/>
    <xf numFmtId="0" fontId="4" fillId="2" borderId="1" xfId="0" applyFont="1" applyFill="1" applyBorder="1"/>
    <xf numFmtId="2" fontId="8" fillId="0" borderId="1" xfId="0" applyNumberFormat="1" applyFont="1" applyBorder="1" applyAlignment="1">
      <alignment horizontal="right"/>
    </xf>
    <xf numFmtId="0" fontId="4" fillId="2" borderId="1" xfId="0" applyFont="1" applyFill="1" applyBorder="1" applyProtection="1">
      <protection locked="0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 vertical="center"/>
    </xf>
    <xf numFmtId="0" fontId="6" fillId="2" borderId="17" xfId="0" applyFont="1" applyFill="1" applyBorder="1" applyAlignment="1" applyProtection="1">
      <alignment vertical="center"/>
      <protection locked="0"/>
    </xf>
    <xf numFmtId="0" fontId="16" fillId="0" borderId="0" xfId="0" applyFont="1" applyAlignment="1">
      <alignment vertical="center"/>
    </xf>
    <xf numFmtId="0" fontId="8" fillId="0" borderId="3" xfId="0" applyFont="1" applyBorder="1"/>
    <xf numFmtId="0" fontId="13" fillId="2" borderId="9" xfId="0" applyFont="1" applyFill="1" applyBorder="1" applyAlignment="1" applyProtection="1">
      <alignment horizontal="center"/>
      <protection locked="0"/>
    </xf>
    <xf numFmtId="0" fontId="17" fillId="0" borderId="1" xfId="0" applyFont="1" applyBorder="1"/>
    <xf numFmtId="0" fontId="18" fillId="2" borderId="4" xfId="0" applyFont="1" applyFill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8" fillId="0" borderId="3" xfId="0" applyFont="1" applyBorder="1" applyAlignment="1">
      <alignment wrapText="1"/>
    </xf>
    <xf numFmtId="0" fontId="8" fillId="0" borderId="1" xfId="0" applyFont="1" applyBorder="1" applyAlignment="1">
      <alignment horizontal="right" vertical="center"/>
    </xf>
    <xf numFmtId="2" fontId="8" fillId="0" borderId="1" xfId="0" applyNumberFormat="1" applyFont="1" applyBorder="1" applyAlignment="1">
      <alignment vertical="center"/>
    </xf>
    <xf numFmtId="2" fontId="8" fillId="0" borderId="1" xfId="0" applyNumberFormat="1" applyFont="1" applyBorder="1" applyAlignment="1">
      <alignment horizontal="right" vertical="center"/>
    </xf>
    <xf numFmtId="0" fontId="13" fillId="0" borderId="1" xfId="0" applyFont="1" applyBorder="1" applyAlignment="1">
      <alignment vertical="center"/>
    </xf>
    <xf numFmtId="0" fontId="14" fillId="0" borderId="1" xfId="0" applyFont="1" applyBorder="1" applyAlignment="1">
      <alignment horizontal="left" vertical="center"/>
    </xf>
    <xf numFmtId="0" fontId="13" fillId="0" borderId="1" xfId="0" applyFont="1" applyBorder="1"/>
    <xf numFmtId="0" fontId="13" fillId="2" borderId="1" xfId="0" applyFont="1" applyFill="1" applyBorder="1" applyProtection="1">
      <protection locked="0"/>
    </xf>
    <xf numFmtId="0" fontId="8" fillId="2" borderId="3" xfId="1" applyFont="1" applyFill="1" applyBorder="1"/>
    <xf numFmtId="0" fontId="1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2" borderId="1" xfId="0" applyFont="1" applyFill="1" applyBorder="1"/>
    <xf numFmtId="2" fontId="8" fillId="2" borderId="1" xfId="0" applyNumberFormat="1" applyFont="1" applyFill="1" applyBorder="1"/>
    <xf numFmtId="0" fontId="8" fillId="2" borderId="3" xfId="0" applyFont="1" applyFill="1" applyBorder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1" xfId="0" applyFont="1" applyBorder="1" applyAlignment="1">
      <alignment horizontal="right" vertical="center"/>
    </xf>
    <xf numFmtId="2" fontId="19" fillId="0" borderId="1" xfId="0" applyNumberFormat="1" applyFont="1" applyBorder="1"/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3" xfId="0" applyFont="1" applyBorder="1" applyAlignment="1">
      <alignment vertical="center" wrapText="1"/>
    </xf>
    <xf numFmtId="0" fontId="8" fillId="2" borderId="1" xfId="0" applyFont="1" applyFill="1" applyBorder="1" applyAlignment="1">
      <alignment horizontal="right" vertical="top" wrapText="1"/>
    </xf>
    <xf numFmtId="2" fontId="8" fillId="2" borderId="1" xfId="0" applyNumberFormat="1" applyFont="1" applyFill="1" applyBorder="1" applyAlignment="1">
      <alignment horizontal="right" vertical="top" wrapText="1"/>
    </xf>
    <xf numFmtId="0" fontId="6" fillId="2" borderId="0" xfId="0" applyFont="1" applyFill="1" applyProtection="1">
      <protection locked="0"/>
    </xf>
    <xf numFmtId="0" fontId="10" fillId="0" borderId="0" xfId="0" applyFont="1" applyAlignment="1">
      <alignment horizontal="center"/>
    </xf>
    <xf numFmtId="0" fontId="6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5" fillId="2" borderId="0" xfId="0" applyFont="1" applyFill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0" fillId="0" borderId="0" xfId="0"/>
    <xf numFmtId="0" fontId="7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8" fillId="0" borderId="1" xfId="0" applyFont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3:I30"/>
  <sheetViews>
    <sheetView tabSelected="1" zoomScaleNormal="100" workbookViewId="0">
      <selection activeCell="D24" sqref="D24"/>
    </sheetView>
  </sheetViews>
  <sheetFormatPr defaultRowHeight="15" x14ac:dyDescent="0.25"/>
  <cols>
    <col min="1" max="1" width="10.28515625" customWidth="1"/>
    <col min="2" max="2" width="11.5703125" customWidth="1"/>
    <col min="3" max="3" width="8" customWidth="1"/>
    <col min="4" max="4" width="27" customWidth="1"/>
    <col min="5" max="5" width="8.42578125" customWidth="1"/>
    <col min="6" max="6" width="7.7109375" customWidth="1"/>
    <col min="7" max="7" width="7" customWidth="1"/>
    <col min="8" max="8" width="8.28515625" customWidth="1"/>
  </cols>
  <sheetData>
    <row r="3" spans="1:9" ht="18.75" x14ac:dyDescent="0.3">
      <c r="A3" s="6"/>
      <c r="B3" s="6"/>
      <c r="C3" s="6"/>
      <c r="D3" s="6"/>
      <c r="G3" s="115" t="s">
        <v>17</v>
      </c>
      <c r="H3" s="115"/>
      <c r="I3" s="115"/>
    </row>
    <row r="4" spans="1:9" ht="15.75" x14ac:dyDescent="0.25">
      <c r="A4" s="6"/>
      <c r="B4" s="6"/>
      <c r="C4" s="6"/>
      <c r="D4" s="6"/>
      <c r="G4" s="116" t="s">
        <v>18</v>
      </c>
      <c r="H4" s="116"/>
      <c r="I4" s="116"/>
    </row>
    <row r="5" spans="1:9" ht="15.75" x14ac:dyDescent="0.25">
      <c r="A5" s="6"/>
      <c r="B5" s="6"/>
      <c r="C5" s="6"/>
      <c r="D5" s="6"/>
      <c r="G5" s="117" t="s">
        <v>19</v>
      </c>
      <c r="H5" s="117"/>
      <c r="I5" s="117"/>
    </row>
    <row r="6" spans="1:9" ht="15.75" x14ac:dyDescent="0.25">
      <c r="A6" s="6"/>
      <c r="B6" s="6"/>
      <c r="C6" s="6"/>
      <c r="D6" s="6"/>
      <c r="E6" s="52"/>
      <c r="F6" s="52"/>
    </row>
    <row r="7" spans="1:9" ht="15.75" x14ac:dyDescent="0.25">
      <c r="A7" s="6"/>
      <c r="B7" s="6"/>
      <c r="C7" s="6"/>
      <c r="D7" s="6"/>
      <c r="E7" s="52"/>
      <c r="F7" s="52"/>
    </row>
    <row r="8" spans="1:9" ht="15.75" x14ac:dyDescent="0.25">
      <c r="A8" s="6"/>
      <c r="B8" s="6"/>
      <c r="C8" s="6"/>
      <c r="D8" s="6"/>
      <c r="E8" s="6"/>
      <c r="F8" s="6"/>
      <c r="G8" s="6"/>
      <c r="H8" s="6"/>
    </row>
    <row r="9" spans="1:9" ht="15.75" x14ac:dyDescent="0.25">
      <c r="A9" s="7" t="s">
        <v>0</v>
      </c>
      <c r="B9" s="114" t="s">
        <v>14</v>
      </c>
      <c r="C9" s="114"/>
      <c r="D9" s="114"/>
      <c r="E9" s="9" t="s">
        <v>16</v>
      </c>
      <c r="F9" s="9">
        <v>5</v>
      </c>
      <c r="G9" s="8" t="s">
        <v>1</v>
      </c>
      <c r="H9" s="10"/>
    </row>
    <row r="10" spans="1:9" ht="7.5" customHeight="1" thickBot="1" x14ac:dyDescent="0.3">
      <c r="A10" s="6"/>
      <c r="B10" s="11"/>
      <c r="C10" s="11"/>
      <c r="D10" s="11"/>
      <c r="E10" s="11"/>
      <c r="F10" s="11"/>
      <c r="G10" s="11"/>
      <c r="H10" s="11"/>
    </row>
    <row r="11" spans="1:9" ht="32.25" thickBot="1" x14ac:dyDescent="0.3">
      <c r="A11" s="29" t="s">
        <v>2</v>
      </c>
      <c r="B11" s="30" t="s">
        <v>3</v>
      </c>
      <c r="C11" s="30" t="s">
        <v>12</v>
      </c>
      <c r="D11" s="30" t="s">
        <v>4</v>
      </c>
      <c r="E11" s="32" t="s">
        <v>13</v>
      </c>
      <c r="F11" s="31" t="s">
        <v>20</v>
      </c>
      <c r="G11" s="31" t="s">
        <v>21</v>
      </c>
      <c r="H11" s="40" t="s">
        <v>22</v>
      </c>
      <c r="I11" s="45" t="s">
        <v>34</v>
      </c>
    </row>
    <row r="12" spans="1:9" ht="31.5" x14ac:dyDescent="0.25">
      <c r="A12" s="12" t="s">
        <v>5</v>
      </c>
      <c r="B12" s="54" t="s">
        <v>6</v>
      </c>
      <c r="C12" s="57">
        <v>53</v>
      </c>
      <c r="D12" s="55" t="s">
        <v>35</v>
      </c>
      <c r="E12" s="34">
        <v>250</v>
      </c>
      <c r="F12" s="46">
        <f>E12*6.98/250</f>
        <v>6.98</v>
      </c>
      <c r="G12" s="46">
        <f>E12*7.65/250</f>
        <v>7.65</v>
      </c>
      <c r="H12" s="46">
        <f>E12*24.66/250</f>
        <v>24.66</v>
      </c>
      <c r="I12" s="46">
        <f>E12*195.1/250</f>
        <v>195.1</v>
      </c>
    </row>
    <row r="13" spans="1:9" ht="31.5" x14ac:dyDescent="0.25">
      <c r="A13" s="14"/>
      <c r="B13" s="66" t="s">
        <v>7</v>
      </c>
      <c r="C13" s="58">
        <v>285</v>
      </c>
      <c r="D13" s="56" t="s">
        <v>28</v>
      </c>
      <c r="E13" s="34">
        <v>200</v>
      </c>
      <c r="F13" s="46">
        <v>2.0099999999999998</v>
      </c>
      <c r="G13" s="46">
        <v>2.39</v>
      </c>
      <c r="H13" s="46">
        <v>25.65</v>
      </c>
      <c r="I13" s="46">
        <v>131.87</v>
      </c>
    </row>
    <row r="14" spans="1:9" ht="15.75" x14ac:dyDescent="0.25">
      <c r="A14" s="14"/>
      <c r="B14" s="15"/>
      <c r="C14" s="59">
        <v>365</v>
      </c>
      <c r="D14" s="53" t="s">
        <v>29</v>
      </c>
      <c r="E14" s="34">
        <v>12</v>
      </c>
      <c r="F14" s="46">
        <f>E14*0.1/10</f>
        <v>0.12000000000000002</v>
      </c>
      <c r="G14" s="46">
        <f>E14*7.2/10</f>
        <v>8.64</v>
      </c>
      <c r="H14" s="46">
        <f>E14*0.1/10</f>
        <v>0.12000000000000002</v>
      </c>
      <c r="I14" s="46">
        <f>E14*66/10</f>
        <v>79.2</v>
      </c>
    </row>
    <row r="15" spans="1:9" ht="15.75" x14ac:dyDescent="0.25">
      <c r="A15" s="14"/>
      <c r="B15" s="18"/>
      <c r="C15" s="59">
        <v>366</v>
      </c>
      <c r="D15" s="2" t="s">
        <v>30</v>
      </c>
      <c r="E15" s="33">
        <v>15</v>
      </c>
      <c r="F15" s="46">
        <f>E15*6.96/30</f>
        <v>3.48</v>
      </c>
      <c r="G15" s="47">
        <f>E15*8.85/30</f>
        <v>4.4249999999999998</v>
      </c>
      <c r="H15" s="47">
        <v>0</v>
      </c>
      <c r="I15" s="47">
        <f>E15*109.2/30</f>
        <v>54.6</v>
      </c>
    </row>
    <row r="16" spans="1:9" ht="16.5" thickBot="1" x14ac:dyDescent="0.3">
      <c r="A16" s="19"/>
      <c r="B16" s="20"/>
      <c r="C16" s="60"/>
      <c r="D16" s="2" t="s">
        <v>23</v>
      </c>
      <c r="E16" s="34">
        <v>48</v>
      </c>
      <c r="F16" s="46">
        <f>E16*6.9/100</f>
        <v>3.3120000000000003</v>
      </c>
      <c r="G16" s="47">
        <f>1*E16/100</f>
        <v>0.48</v>
      </c>
      <c r="H16" s="47">
        <f>E16*48.3/100</f>
        <v>23.183999999999997</v>
      </c>
      <c r="I16" s="47">
        <f>E16*235/100</f>
        <v>112.8</v>
      </c>
    </row>
    <row r="17" spans="1:9" ht="15.75" x14ac:dyDescent="0.25">
      <c r="A17" s="12" t="s">
        <v>36</v>
      </c>
      <c r="B17" s="13"/>
      <c r="C17" s="61">
        <v>313</v>
      </c>
      <c r="D17" s="2" t="s">
        <v>31</v>
      </c>
      <c r="E17" s="34">
        <v>55</v>
      </c>
      <c r="F17" s="46">
        <f>E17*4.13/60</f>
        <v>3.7858333333333336</v>
      </c>
      <c r="G17" s="46">
        <f>E17*8/60</f>
        <v>7.333333333333333</v>
      </c>
      <c r="H17" s="46">
        <f>E17*34.12/60</f>
        <v>31.276666666666664</v>
      </c>
      <c r="I17" s="46">
        <f>E17*345/60</f>
        <v>316.25</v>
      </c>
    </row>
    <row r="18" spans="1:9" ht="15.75" x14ac:dyDescent="0.25">
      <c r="A18" s="22"/>
      <c r="B18" s="23"/>
      <c r="C18" s="62">
        <v>293</v>
      </c>
      <c r="D18" s="2" t="s">
        <v>24</v>
      </c>
      <c r="E18" s="34">
        <v>200</v>
      </c>
      <c r="F18" s="34">
        <v>2</v>
      </c>
      <c r="G18" s="34">
        <v>0.2</v>
      </c>
      <c r="H18" s="34">
        <v>5.8</v>
      </c>
      <c r="I18" s="34">
        <v>36</v>
      </c>
    </row>
    <row r="19" spans="1:9" ht="15.75" x14ac:dyDescent="0.25">
      <c r="A19" s="14"/>
      <c r="B19" s="18"/>
      <c r="C19" s="59"/>
      <c r="D19" s="35"/>
      <c r="E19" s="4"/>
      <c r="F19" s="17"/>
      <c r="G19" s="17"/>
      <c r="H19" s="41"/>
      <c r="I19" s="1"/>
    </row>
    <row r="20" spans="1:9" ht="16.5" thickBot="1" x14ac:dyDescent="0.3">
      <c r="A20" s="19"/>
      <c r="B20" s="20"/>
      <c r="C20" s="60"/>
      <c r="D20" s="36"/>
      <c r="E20" s="5"/>
      <c r="F20" s="21"/>
      <c r="G20" s="21"/>
      <c r="H20" s="42"/>
      <c r="I20" s="1"/>
    </row>
    <row r="21" spans="1:9" ht="31.5" x14ac:dyDescent="0.25">
      <c r="A21" s="22" t="s">
        <v>8</v>
      </c>
      <c r="B21" s="48" t="s">
        <v>9</v>
      </c>
      <c r="C21" s="50">
        <v>246</v>
      </c>
      <c r="D21" s="51" t="s">
        <v>37</v>
      </c>
      <c r="E21" s="64">
        <v>100</v>
      </c>
      <c r="F21" s="65">
        <v>1.1000000000000001</v>
      </c>
      <c r="G21" s="65">
        <v>0.2</v>
      </c>
      <c r="H21" s="65">
        <v>4.5999999999999996</v>
      </c>
      <c r="I21" s="65">
        <v>23</v>
      </c>
    </row>
    <row r="22" spans="1:9" ht="15.75" x14ac:dyDescent="0.25">
      <c r="A22" s="14"/>
      <c r="B22" s="37" t="s">
        <v>10</v>
      </c>
      <c r="C22" s="50">
        <v>50</v>
      </c>
      <c r="D22" s="63" t="s">
        <v>38</v>
      </c>
      <c r="E22" s="33">
        <v>200</v>
      </c>
      <c r="F22" s="46">
        <f>E22*13.21/250</f>
        <v>10.568</v>
      </c>
      <c r="G22" s="47">
        <f>E22*4.11/250</f>
        <v>3.2880000000000003</v>
      </c>
      <c r="H22" s="47">
        <f>E22*6.7/250</f>
        <v>5.36</v>
      </c>
      <c r="I22" s="47">
        <f>E22*116.24/250</f>
        <v>92.992000000000004</v>
      </c>
    </row>
    <row r="23" spans="1:9" ht="31.5" x14ac:dyDescent="0.25">
      <c r="A23" s="14"/>
      <c r="B23" s="38" t="s">
        <v>11</v>
      </c>
      <c r="C23" s="50">
        <v>185</v>
      </c>
      <c r="D23" s="3" t="s">
        <v>39</v>
      </c>
      <c r="E23" s="34">
        <v>205</v>
      </c>
      <c r="F23" s="46">
        <f>E23*25.53/205</f>
        <v>25.53</v>
      </c>
      <c r="G23" s="47">
        <f>E23*24.78/205</f>
        <v>24.78</v>
      </c>
      <c r="H23" s="47">
        <f>E23*18.43/205</f>
        <v>18.43</v>
      </c>
      <c r="I23" s="47">
        <f>E23*400.75/205</f>
        <v>400.75</v>
      </c>
    </row>
    <row r="24" spans="1:9" ht="15.75" x14ac:dyDescent="0.25">
      <c r="A24" s="14"/>
      <c r="B24" s="1"/>
      <c r="C24" s="50">
        <v>263</v>
      </c>
      <c r="D24" s="2" t="s">
        <v>40</v>
      </c>
      <c r="E24" s="34">
        <v>40</v>
      </c>
      <c r="F24" s="46">
        <f>E24*1.68/100</f>
        <v>0.67200000000000004</v>
      </c>
      <c r="G24" s="47">
        <f>E24*11.84/100</f>
        <v>4.7360000000000007</v>
      </c>
      <c r="H24" s="47">
        <f>E24*3.36/100</f>
        <v>1.3440000000000001</v>
      </c>
      <c r="I24" s="47">
        <f>E24*126.72/100</f>
        <v>50.688000000000002</v>
      </c>
    </row>
    <row r="25" spans="1:9" ht="31.5" x14ac:dyDescent="0.25">
      <c r="A25" s="14"/>
      <c r="B25" s="39" t="s">
        <v>15</v>
      </c>
      <c r="C25" s="50">
        <v>280</v>
      </c>
      <c r="D25" s="3" t="s">
        <v>33</v>
      </c>
      <c r="E25" s="34">
        <v>200</v>
      </c>
      <c r="F25" s="46">
        <v>0.33</v>
      </c>
      <c r="G25" s="46">
        <v>0</v>
      </c>
      <c r="H25" s="46">
        <v>22.66</v>
      </c>
      <c r="I25" s="46">
        <v>91.98</v>
      </c>
    </row>
    <row r="26" spans="1:9" ht="15.75" x14ac:dyDescent="0.25">
      <c r="A26" s="14"/>
      <c r="B26" s="15"/>
      <c r="C26" s="50"/>
      <c r="D26" s="2" t="s">
        <v>25</v>
      </c>
      <c r="E26" s="34">
        <v>40</v>
      </c>
      <c r="F26" s="46">
        <f>E26*6.9/100</f>
        <v>2.76</v>
      </c>
      <c r="G26" s="47">
        <f>1*E26/100</f>
        <v>0.4</v>
      </c>
      <c r="H26" s="47">
        <f>E26*48.3/100</f>
        <v>19.32</v>
      </c>
      <c r="I26" s="47">
        <f>E26*235/100</f>
        <v>94</v>
      </c>
    </row>
    <row r="27" spans="1:9" ht="15.75" x14ac:dyDescent="0.25">
      <c r="A27" s="14"/>
      <c r="B27" s="24"/>
      <c r="C27" s="49"/>
      <c r="D27" s="2" t="s">
        <v>26</v>
      </c>
      <c r="E27" s="34">
        <v>45</v>
      </c>
      <c r="F27" s="46">
        <f>E27*4.8/100</f>
        <v>2.16</v>
      </c>
      <c r="G27" s="47">
        <f>E27*1/100</f>
        <v>0.45</v>
      </c>
      <c r="H27" s="47">
        <f>E27*21.2/50</f>
        <v>19.079999999999998</v>
      </c>
      <c r="I27" s="47">
        <f>E27*100/50</f>
        <v>90</v>
      </c>
    </row>
    <row r="28" spans="1:9" ht="15.75" x14ac:dyDescent="0.25">
      <c r="A28" s="14"/>
      <c r="B28" s="24"/>
      <c r="C28" s="16"/>
      <c r="D28" s="24"/>
      <c r="E28" s="25"/>
      <c r="F28" s="26"/>
      <c r="G28" s="26"/>
      <c r="H28" s="43"/>
      <c r="I28" s="1"/>
    </row>
    <row r="29" spans="1:9" ht="15.75" x14ac:dyDescent="0.25">
      <c r="A29" s="14"/>
      <c r="B29" s="18"/>
      <c r="C29" s="18"/>
      <c r="D29" s="24"/>
      <c r="E29" s="24"/>
      <c r="F29" s="27"/>
      <c r="G29" s="27"/>
      <c r="H29" s="44"/>
      <c r="I29" s="1"/>
    </row>
    <row r="30" spans="1:9" ht="15.75" x14ac:dyDescent="0.25">
      <c r="A30" s="28"/>
      <c r="B30" s="24"/>
      <c r="C30" s="24"/>
      <c r="D30" s="24"/>
      <c r="E30" s="24"/>
      <c r="F30" s="24"/>
      <c r="G30" s="24"/>
      <c r="H30" s="28"/>
      <c r="I30" s="1"/>
    </row>
  </sheetData>
  <mergeCells count="4">
    <mergeCell ref="B9:D9"/>
    <mergeCell ref="G3:I3"/>
    <mergeCell ref="G4:I4"/>
    <mergeCell ref="G5:I5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22"/>
  <sheetViews>
    <sheetView topLeftCell="A7" workbookViewId="0">
      <selection activeCell="L15" sqref="L15"/>
    </sheetView>
  </sheetViews>
  <sheetFormatPr defaultRowHeight="15" x14ac:dyDescent="0.25"/>
  <cols>
    <col min="3" max="3" width="6.85546875" customWidth="1"/>
    <col min="4" max="4" width="26.5703125" customWidth="1"/>
    <col min="5" max="5" width="7.7109375" customWidth="1"/>
    <col min="8" max="8" width="11.28515625" bestFit="1" customWidth="1"/>
  </cols>
  <sheetData>
    <row r="3" spans="1:9" ht="15.75" x14ac:dyDescent="0.25">
      <c r="A3" s="6"/>
      <c r="B3" s="6"/>
      <c r="C3" s="6"/>
      <c r="D3" s="6"/>
      <c r="E3" s="120" t="s">
        <v>17</v>
      </c>
      <c r="F3" s="120"/>
    </row>
    <row r="4" spans="1:9" ht="15.75" x14ac:dyDescent="0.25">
      <c r="A4" s="6"/>
      <c r="B4" s="6"/>
      <c r="C4" s="6"/>
      <c r="D4" s="6"/>
      <c r="E4" s="116" t="s">
        <v>18</v>
      </c>
      <c r="F4" s="116"/>
    </row>
    <row r="5" spans="1:9" ht="19.5" customHeight="1" x14ac:dyDescent="0.25">
      <c r="A5" s="6"/>
      <c r="B5" s="6"/>
      <c r="C5" s="6"/>
      <c r="D5" s="6"/>
      <c r="E5" s="117" t="s">
        <v>19</v>
      </c>
      <c r="F5" s="117"/>
    </row>
    <row r="6" spans="1:9" ht="15.75" x14ac:dyDescent="0.25">
      <c r="A6" s="6"/>
      <c r="B6" s="6"/>
      <c r="C6" s="6"/>
      <c r="D6" s="6"/>
      <c r="E6" s="52"/>
      <c r="F6" s="52"/>
    </row>
    <row r="7" spans="1:9" ht="28.5" customHeight="1" x14ac:dyDescent="0.25">
      <c r="A7" s="6"/>
      <c r="B7" s="6"/>
      <c r="C7" s="6"/>
      <c r="D7" s="6"/>
      <c r="E7" s="52"/>
      <c r="F7" s="52"/>
    </row>
    <row r="8" spans="1:9" ht="15.75" x14ac:dyDescent="0.25">
      <c r="A8" s="6"/>
      <c r="B8" s="6"/>
      <c r="C8" s="6"/>
      <c r="D8" s="6"/>
      <c r="E8" s="6"/>
      <c r="F8" s="6"/>
      <c r="G8" s="6"/>
      <c r="H8" s="6"/>
    </row>
    <row r="9" spans="1:9" ht="15.75" x14ac:dyDescent="0.25">
      <c r="A9" s="7" t="s">
        <v>0</v>
      </c>
      <c r="B9" s="114" t="s">
        <v>14</v>
      </c>
      <c r="C9" s="114"/>
      <c r="D9" s="114"/>
      <c r="E9" s="118" t="s">
        <v>27</v>
      </c>
      <c r="F9" s="118"/>
      <c r="G9" s="119"/>
      <c r="H9" s="67">
        <v>5</v>
      </c>
      <c r="I9" s="1" t="s">
        <v>1</v>
      </c>
    </row>
    <row r="10" spans="1:9" ht="20.25" customHeight="1" thickBot="1" x14ac:dyDescent="0.3">
      <c r="A10" s="6"/>
      <c r="B10" s="11"/>
      <c r="C10" s="11"/>
      <c r="D10" s="11"/>
      <c r="E10" s="11"/>
      <c r="F10" s="11"/>
      <c r="G10" s="11"/>
      <c r="H10" s="11"/>
    </row>
    <row r="11" spans="1:9" ht="28.5" customHeight="1" x14ac:dyDescent="0.25">
      <c r="A11" s="29" t="s">
        <v>2</v>
      </c>
      <c r="B11" s="30" t="s">
        <v>3</v>
      </c>
      <c r="C11" s="30" t="s">
        <v>12</v>
      </c>
      <c r="D11" s="30" t="s">
        <v>4</v>
      </c>
      <c r="E11" s="69" t="s">
        <v>13</v>
      </c>
      <c r="F11" s="31" t="s">
        <v>20</v>
      </c>
      <c r="G11" s="31" t="s">
        <v>21</v>
      </c>
      <c r="H11" s="40" t="s">
        <v>22</v>
      </c>
      <c r="I11" s="45" t="s">
        <v>34</v>
      </c>
    </row>
    <row r="12" spans="1:9" ht="16.5" thickBot="1" x14ac:dyDescent="0.3">
      <c r="A12" s="19"/>
      <c r="B12" s="20"/>
      <c r="C12" s="60"/>
      <c r="D12" s="36"/>
      <c r="E12" s="5"/>
      <c r="F12" s="21"/>
      <c r="G12" s="21"/>
      <c r="H12" s="42"/>
      <c r="I12" s="1"/>
    </row>
    <row r="13" spans="1:9" ht="28.5" customHeight="1" x14ac:dyDescent="0.25">
      <c r="A13" s="68" t="s">
        <v>8</v>
      </c>
      <c r="B13" s="48" t="s">
        <v>9</v>
      </c>
      <c r="C13" s="50">
        <v>246</v>
      </c>
      <c r="D13" s="51" t="s">
        <v>37</v>
      </c>
      <c r="E13" s="64">
        <v>100</v>
      </c>
      <c r="F13" s="65">
        <v>1.1000000000000001</v>
      </c>
      <c r="G13" s="65">
        <v>0.2</v>
      </c>
      <c r="H13" s="65">
        <v>4.5999999999999996</v>
      </c>
      <c r="I13" s="65">
        <v>23</v>
      </c>
    </row>
    <row r="14" spans="1:9" ht="16.5" customHeight="1" x14ac:dyDescent="0.25">
      <c r="A14" s="14"/>
      <c r="B14" s="37" t="s">
        <v>10</v>
      </c>
      <c r="C14" s="50">
        <v>50</v>
      </c>
      <c r="D14" s="63" t="s">
        <v>38</v>
      </c>
      <c r="E14" s="33">
        <v>200</v>
      </c>
      <c r="F14" s="46">
        <f>E14*13.21/250</f>
        <v>10.568</v>
      </c>
      <c r="G14" s="47">
        <f>E14*4.11/250</f>
        <v>3.2880000000000003</v>
      </c>
      <c r="H14" s="47">
        <f>E14*6.7/250</f>
        <v>5.36</v>
      </c>
      <c r="I14" s="47">
        <f>E14*116.24/250</f>
        <v>92.992000000000004</v>
      </c>
    </row>
    <row r="15" spans="1:9" ht="31.5" x14ac:dyDescent="0.25">
      <c r="A15" s="14"/>
      <c r="B15" s="38" t="s">
        <v>11</v>
      </c>
      <c r="C15" s="50">
        <v>185</v>
      </c>
      <c r="D15" s="3" t="s">
        <v>32</v>
      </c>
      <c r="E15" s="34">
        <v>205</v>
      </c>
      <c r="F15" s="46">
        <f>E15*25.53/205</f>
        <v>25.53</v>
      </c>
      <c r="G15" s="47">
        <f>E15*24.78/205</f>
        <v>24.78</v>
      </c>
      <c r="H15" s="47">
        <f>E15*18.43/205</f>
        <v>18.43</v>
      </c>
      <c r="I15" s="47">
        <f>E15*400.75/205</f>
        <v>400.75</v>
      </c>
    </row>
    <row r="16" spans="1:9" ht="15.75" x14ac:dyDescent="0.25">
      <c r="A16" s="14"/>
      <c r="B16" s="1"/>
      <c r="C16" s="50">
        <v>263</v>
      </c>
      <c r="D16" s="2" t="s">
        <v>40</v>
      </c>
      <c r="E16" s="34">
        <v>40</v>
      </c>
      <c r="F16" s="46">
        <f>E16*1.68/100</f>
        <v>0.67200000000000004</v>
      </c>
      <c r="G16" s="47">
        <f>E16*11.84/100</f>
        <v>4.7360000000000007</v>
      </c>
      <c r="H16" s="47">
        <f>E16*3.36/100</f>
        <v>1.3440000000000001</v>
      </c>
      <c r="I16" s="47">
        <f>E16*126.72/100</f>
        <v>50.688000000000002</v>
      </c>
    </row>
    <row r="17" spans="1:9" ht="33" customHeight="1" x14ac:dyDescent="0.25">
      <c r="A17" s="14"/>
      <c r="B17" s="39" t="s">
        <v>15</v>
      </c>
      <c r="C17" s="50">
        <v>280</v>
      </c>
      <c r="D17" s="3" t="s">
        <v>33</v>
      </c>
      <c r="E17" s="34">
        <v>200</v>
      </c>
      <c r="F17" s="46">
        <v>0.33</v>
      </c>
      <c r="G17" s="46">
        <v>0</v>
      </c>
      <c r="H17" s="46">
        <v>22.66</v>
      </c>
      <c r="I17" s="46">
        <v>91.98</v>
      </c>
    </row>
    <row r="18" spans="1:9" ht="15.75" x14ac:dyDescent="0.25">
      <c r="A18" s="14"/>
      <c r="B18" s="15"/>
      <c r="C18" s="50"/>
      <c r="D18" s="2" t="s">
        <v>25</v>
      </c>
      <c r="E18" s="34">
        <v>40</v>
      </c>
      <c r="F18" s="46">
        <f>E18*6.9/100</f>
        <v>2.76</v>
      </c>
      <c r="G18" s="47">
        <f>1*E18/100</f>
        <v>0.4</v>
      </c>
      <c r="H18" s="47">
        <f>E18*48.3/100</f>
        <v>19.32</v>
      </c>
      <c r="I18" s="47">
        <f>E18*235/100</f>
        <v>94</v>
      </c>
    </row>
    <row r="19" spans="1:9" ht="15.75" x14ac:dyDescent="0.25">
      <c r="A19" s="14"/>
      <c r="B19" s="24"/>
      <c r="C19" s="49"/>
      <c r="D19" s="2" t="s">
        <v>26</v>
      </c>
      <c r="E19" s="34">
        <v>45</v>
      </c>
      <c r="F19" s="46">
        <f>E19*4.8/100</f>
        <v>2.16</v>
      </c>
      <c r="G19" s="47">
        <f>E19*1/100</f>
        <v>0.45</v>
      </c>
      <c r="H19" s="47">
        <f>E19*21.2/50</f>
        <v>19.079999999999998</v>
      </c>
      <c r="I19" s="47">
        <f>E19*100/50</f>
        <v>90</v>
      </c>
    </row>
    <row r="20" spans="1:9" ht="15.75" x14ac:dyDescent="0.25">
      <c r="A20" s="14"/>
      <c r="B20" s="24"/>
      <c r="C20" s="16"/>
      <c r="D20" s="24"/>
      <c r="E20" s="25"/>
      <c r="F20" s="26"/>
      <c r="G20" s="26"/>
      <c r="H20" s="43"/>
      <c r="I20" s="1"/>
    </row>
    <row r="21" spans="1:9" ht="15.75" x14ac:dyDescent="0.25">
      <c r="A21" s="14" t="s">
        <v>36</v>
      </c>
      <c r="B21" s="18"/>
      <c r="C21" s="126" t="s">
        <v>68</v>
      </c>
      <c r="D21" s="2" t="s">
        <v>31</v>
      </c>
      <c r="E21" s="34">
        <v>65</v>
      </c>
      <c r="F21" s="46">
        <f>E21*4.13/60</f>
        <v>4.4741666666666662</v>
      </c>
      <c r="G21" s="46">
        <f>E21*8/60</f>
        <v>8.6666666666666661</v>
      </c>
      <c r="H21" s="46">
        <f>E21*34.12/60</f>
        <v>36.963333333333331</v>
      </c>
      <c r="I21" s="46">
        <f>E21*345/60</f>
        <v>373.75</v>
      </c>
    </row>
    <row r="22" spans="1:9" ht="15.75" x14ac:dyDescent="0.25">
      <c r="A22" s="28"/>
      <c r="B22" s="24"/>
      <c r="C22" s="126" t="s">
        <v>69</v>
      </c>
      <c r="D22" s="2" t="s">
        <v>24</v>
      </c>
      <c r="E22" s="34">
        <v>200</v>
      </c>
      <c r="F22" s="34">
        <v>2</v>
      </c>
      <c r="G22" s="34">
        <v>0.2</v>
      </c>
      <c r="H22" s="34">
        <v>5.8</v>
      </c>
      <c r="I22" s="34">
        <v>36</v>
      </c>
    </row>
  </sheetData>
  <mergeCells count="5">
    <mergeCell ref="B9:D9"/>
    <mergeCell ref="E9:G9"/>
    <mergeCell ref="E5:F5"/>
    <mergeCell ref="E3:F3"/>
    <mergeCell ref="E4:F4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28CF0-A9A2-47F8-AED5-66C68CC7C056}">
  <dimension ref="A1:J28"/>
  <sheetViews>
    <sheetView topLeftCell="A6" workbookViewId="0">
      <selection activeCell="M28" sqref="M28"/>
    </sheetView>
  </sheetViews>
  <sheetFormatPr defaultRowHeight="15" x14ac:dyDescent="0.25"/>
  <cols>
    <col min="3" max="3" width="6.42578125" customWidth="1"/>
    <col min="4" max="4" width="25.140625" customWidth="1"/>
    <col min="5" max="5" width="6.140625" customWidth="1"/>
    <col min="6" max="6" width="7.42578125" customWidth="1"/>
    <col min="7" max="7" width="7" customWidth="1"/>
    <col min="8" max="8" width="6.85546875" customWidth="1"/>
  </cols>
  <sheetData>
    <row r="1" spans="1:9" x14ac:dyDescent="0.25">
      <c r="A1" s="124" t="s">
        <v>14</v>
      </c>
      <c r="B1" s="124"/>
      <c r="C1" s="124"/>
      <c r="D1" s="124"/>
      <c r="E1" s="124"/>
      <c r="F1" s="124"/>
      <c r="G1" s="124"/>
      <c r="H1" s="124"/>
      <c r="I1" s="124"/>
    </row>
    <row r="3" spans="1:9" ht="18.75" x14ac:dyDescent="0.3">
      <c r="A3" s="6"/>
      <c r="B3" s="6"/>
      <c r="C3" s="6"/>
      <c r="D3" s="6"/>
      <c r="G3" s="115" t="s">
        <v>17</v>
      </c>
      <c r="H3" s="115"/>
      <c r="I3" s="115"/>
    </row>
    <row r="4" spans="1:9" ht="15.75" x14ac:dyDescent="0.25">
      <c r="A4" s="6"/>
      <c r="B4" s="6"/>
      <c r="C4" s="6"/>
      <c r="D4" s="6"/>
      <c r="G4" s="116" t="s">
        <v>18</v>
      </c>
      <c r="H4" s="116"/>
      <c r="I4" s="116"/>
    </row>
    <row r="5" spans="1:9" ht="15.75" x14ac:dyDescent="0.25">
      <c r="A5" s="6"/>
      <c r="B5" s="6"/>
      <c r="C5" s="6"/>
      <c r="D5" s="6"/>
      <c r="G5" s="117" t="s">
        <v>19</v>
      </c>
      <c r="H5" s="117"/>
      <c r="I5" s="117"/>
    </row>
    <row r="6" spans="1:9" ht="15.75" x14ac:dyDescent="0.25">
      <c r="A6" s="6"/>
      <c r="B6" s="6"/>
      <c r="C6" s="6"/>
      <c r="D6" s="6"/>
      <c r="E6" s="52"/>
      <c r="F6" s="52"/>
    </row>
    <row r="7" spans="1:9" ht="15.75" x14ac:dyDescent="0.25">
      <c r="A7" s="121" t="s">
        <v>42</v>
      </c>
      <c r="B7" s="122"/>
      <c r="C7" s="122"/>
      <c r="D7" s="122"/>
      <c r="E7" s="52"/>
      <c r="F7" s="52"/>
      <c r="H7" s="125" t="s">
        <v>43</v>
      </c>
      <c r="I7" s="125"/>
    </row>
    <row r="8" spans="1:9" ht="15.75" x14ac:dyDescent="0.25">
      <c r="A8" s="6"/>
      <c r="B8" s="6"/>
      <c r="C8" s="6"/>
      <c r="D8" s="6"/>
      <c r="E8" s="6"/>
      <c r="F8" s="6"/>
      <c r="G8" s="6"/>
      <c r="H8" s="6"/>
    </row>
    <row r="9" spans="1:9" ht="15.75" x14ac:dyDescent="0.25">
      <c r="A9" s="121"/>
      <c r="B9" s="122"/>
      <c r="C9" s="122"/>
      <c r="D9" s="122"/>
      <c r="E9" s="123" t="s">
        <v>44</v>
      </c>
      <c r="F9" s="122"/>
      <c r="G9" s="122"/>
      <c r="H9" s="70">
        <v>5</v>
      </c>
      <c r="I9" t="s">
        <v>1</v>
      </c>
    </row>
    <row r="10" spans="1:9" ht="16.5" thickBot="1" x14ac:dyDescent="0.3">
      <c r="A10" s="6"/>
      <c r="B10" s="11"/>
      <c r="C10" s="11"/>
      <c r="D10" s="11"/>
      <c r="E10" s="11"/>
      <c r="F10" s="11"/>
      <c r="G10" s="11"/>
      <c r="H10" s="11"/>
    </row>
    <row r="11" spans="1:9" ht="32.25" thickBot="1" x14ac:dyDescent="0.3">
      <c r="A11" s="29" t="s">
        <v>2</v>
      </c>
      <c r="B11" s="30" t="s">
        <v>3</v>
      </c>
      <c r="C11" s="71" t="s">
        <v>12</v>
      </c>
      <c r="D11" s="30" t="s">
        <v>4</v>
      </c>
      <c r="E11" s="32" t="s">
        <v>13</v>
      </c>
      <c r="F11" s="31" t="s">
        <v>20</v>
      </c>
      <c r="G11" s="31" t="s">
        <v>21</v>
      </c>
      <c r="H11" s="40" t="s">
        <v>22</v>
      </c>
      <c r="I11" s="45" t="s">
        <v>34</v>
      </c>
    </row>
    <row r="12" spans="1:9" ht="30" x14ac:dyDescent="0.25">
      <c r="A12" s="72" t="s">
        <v>5</v>
      </c>
      <c r="B12" s="73" t="s">
        <v>6</v>
      </c>
      <c r="C12" s="106" t="s">
        <v>52</v>
      </c>
      <c r="D12" s="104" t="s">
        <v>35</v>
      </c>
      <c r="E12" s="78">
        <v>150</v>
      </c>
      <c r="F12" s="76">
        <f>E12*28.56/1000</f>
        <v>4.2839999999999998</v>
      </c>
      <c r="G12" s="76">
        <f>E12*26.26/1000</f>
        <v>3.9390000000000005</v>
      </c>
      <c r="H12" s="76">
        <f>E12*86.25/1000</f>
        <v>12.9375</v>
      </c>
      <c r="I12" s="76">
        <f>E12*715.68/1000</f>
        <v>107.35199999999999</v>
      </c>
    </row>
    <row r="13" spans="1:9" ht="30" x14ac:dyDescent="0.25">
      <c r="A13" s="14"/>
      <c r="B13" s="77" t="s">
        <v>7</v>
      </c>
      <c r="C13" s="92" t="s">
        <v>53</v>
      </c>
      <c r="D13" s="104" t="s">
        <v>41</v>
      </c>
      <c r="E13" s="78">
        <v>150</v>
      </c>
      <c r="F13" s="76">
        <f>E13*2.29/200</f>
        <v>1.7175</v>
      </c>
      <c r="G13" s="76">
        <f>E13*2.67/200</f>
        <v>2.0024999999999999</v>
      </c>
      <c r="H13" s="76">
        <f>E13*26.11/200</f>
        <v>19.5825</v>
      </c>
      <c r="I13" s="76">
        <f>E13*138.36/200</f>
        <v>103.77000000000002</v>
      </c>
    </row>
    <row r="14" spans="1:9" ht="15.75" x14ac:dyDescent="0.25">
      <c r="A14" s="14"/>
      <c r="B14" s="79" t="s">
        <v>45</v>
      </c>
      <c r="C14" s="75" t="s">
        <v>54</v>
      </c>
      <c r="D14" s="86" t="s">
        <v>29</v>
      </c>
      <c r="E14" s="78">
        <v>2</v>
      </c>
      <c r="F14" s="76">
        <f>E14*0.5/100</f>
        <v>0.01</v>
      </c>
      <c r="G14" s="76">
        <f>E14*82.5/100</f>
        <v>1.65</v>
      </c>
      <c r="H14" s="76">
        <f>E14*0.8/100</f>
        <v>1.6E-2</v>
      </c>
      <c r="I14" s="76">
        <f>E14*748/100</f>
        <v>14.96</v>
      </c>
    </row>
    <row r="15" spans="1:9" ht="15.75" x14ac:dyDescent="0.25">
      <c r="A15" s="14"/>
      <c r="B15" s="79"/>
      <c r="C15" s="75" t="s">
        <v>55</v>
      </c>
      <c r="D15" s="86" t="s">
        <v>46</v>
      </c>
      <c r="E15" s="78">
        <v>25</v>
      </c>
      <c r="F15" s="76">
        <f>E15*7.6/100</f>
        <v>1.9</v>
      </c>
      <c r="G15" s="80">
        <f>E15*0.8/100</f>
        <v>0.2</v>
      </c>
      <c r="H15" s="80">
        <f>E15*49.2/100</f>
        <v>12.3</v>
      </c>
      <c r="I15" s="80">
        <f>E15*235/100</f>
        <v>58.75</v>
      </c>
    </row>
    <row r="16" spans="1:9" ht="15.75" x14ac:dyDescent="0.25">
      <c r="A16" s="14"/>
      <c r="B16" s="79"/>
      <c r="C16" s="75" t="s">
        <v>57</v>
      </c>
      <c r="D16" s="86" t="s">
        <v>56</v>
      </c>
      <c r="E16" s="75">
        <v>6</v>
      </c>
      <c r="F16" s="76">
        <f>E16*25.6/100</f>
        <v>1.5360000000000003</v>
      </c>
      <c r="G16" s="80">
        <f>E16*26.1/100</f>
        <v>1.5660000000000003</v>
      </c>
      <c r="H16" s="80">
        <v>0</v>
      </c>
      <c r="I16" s="80">
        <f>E16*343/100</f>
        <v>20.58</v>
      </c>
    </row>
    <row r="17" spans="1:10" ht="15.75" x14ac:dyDescent="0.25">
      <c r="A17" s="14"/>
      <c r="B17" s="81"/>
      <c r="C17" s="82"/>
      <c r="D17" s="2"/>
      <c r="E17" s="34"/>
      <c r="F17" s="47"/>
      <c r="G17" s="47"/>
      <c r="H17" s="47"/>
      <c r="I17" s="47"/>
    </row>
    <row r="18" spans="1:10" ht="15.75" x14ac:dyDescent="0.25">
      <c r="A18" s="83" t="s">
        <v>47</v>
      </c>
      <c r="B18" s="84"/>
      <c r="C18" s="85" t="s">
        <v>48</v>
      </c>
      <c r="D18" s="74" t="s">
        <v>49</v>
      </c>
      <c r="E18" s="78">
        <v>100</v>
      </c>
      <c r="F18" s="80">
        <f>E18*0.5/100</f>
        <v>0.5</v>
      </c>
      <c r="G18" s="80">
        <f>E18*0.1/100</f>
        <v>0.1</v>
      </c>
      <c r="H18" s="80">
        <f>E18*10.1/100</f>
        <v>10.1</v>
      </c>
      <c r="I18" s="80">
        <f>E18*46/100</f>
        <v>46</v>
      </c>
      <c r="J18" s="105"/>
    </row>
    <row r="19" spans="1:10" ht="16.5" thickBot="1" x14ac:dyDescent="0.3">
      <c r="A19" s="19"/>
      <c r="B19" s="20"/>
      <c r="C19" s="87"/>
      <c r="D19" s="36"/>
      <c r="E19" s="5"/>
      <c r="F19" s="21"/>
      <c r="G19" s="21"/>
      <c r="H19" s="42"/>
      <c r="I19" s="88"/>
    </row>
    <row r="20" spans="1:10" ht="33" customHeight="1" x14ac:dyDescent="0.25">
      <c r="A20" s="68" t="s">
        <v>8</v>
      </c>
      <c r="B20" s="89" t="s">
        <v>9</v>
      </c>
      <c r="C20" s="90" t="s">
        <v>58</v>
      </c>
      <c r="D20" s="91" t="s">
        <v>37</v>
      </c>
      <c r="E20" s="78">
        <v>40</v>
      </c>
      <c r="F20" s="107">
        <f>E20*1.1/100</f>
        <v>0.44</v>
      </c>
      <c r="G20" s="107">
        <f>E20*0.2/100</f>
        <v>0.08</v>
      </c>
      <c r="H20" s="107">
        <f>E20*3.8/100</f>
        <v>1.52</v>
      </c>
      <c r="I20" s="107">
        <f>E20*24/100</f>
        <v>9.6</v>
      </c>
      <c r="J20" s="105"/>
    </row>
    <row r="21" spans="1:10" ht="30" x14ac:dyDescent="0.25">
      <c r="A21" s="14"/>
      <c r="B21" s="37" t="s">
        <v>10</v>
      </c>
      <c r="C21" s="95" t="s">
        <v>59</v>
      </c>
      <c r="D21" s="108" t="s">
        <v>38</v>
      </c>
      <c r="E21" s="75">
        <v>150</v>
      </c>
      <c r="F21" s="93">
        <f>E21*49.33/1000</f>
        <v>7.3994999999999997</v>
      </c>
      <c r="G21" s="94">
        <f>E21*20.24/1000</f>
        <v>3.0359999999999996</v>
      </c>
      <c r="H21" s="94">
        <f>E21*84.41/1000</f>
        <v>12.6615</v>
      </c>
      <c r="I21" s="94">
        <f>E21*788.8/1000</f>
        <v>118.32</v>
      </c>
      <c r="J21" s="106"/>
    </row>
    <row r="22" spans="1:10" ht="30" x14ac:dyDescent="0.25">
      <c r="A22" s="14"/>
      <c r="B22" s="38" t="s">
        <v>11</v>
      </c>
      <c r="C22" s="95" t="s">
        <v>60</v>
      </c>
      <c r="D22" s="111" t="s">
        <v>39</v>
      </c>
      <c r="E22" s="78">
        <v>130</v>
      </c>
      <c r="F22" s="93">
        <f>E22*23.28/200</f>
        <v>15.132</v>
      </c>
      <c r="G22" s="94">
        <f>E22*23.5/200</f>
        <v>15.275</v>
      </c>
      <c r="H22" s="94">
        <f>E22*18.87/200</f>
        <v>12.265499999999999</v>
      </c>
      <c r="I22" s="94">
        <f>E22*380.1/200</f>
        <v>247.065</v>
      </c>
      <c r="J22" s="106"/>
    </row>
    <row r="23" spans="1:10" ht="15.75" x14ac:dyDescent="0.25">
      <c r="A23" s="14"/>
      <c r="C23" s="95" t="s">
        <v>61</v>
      </c>
      <c r="D23" s="109" t="s">
        <v>40</v>
      </c>
      <c r="E23" s="75">
        <v>20</v>
      </c>
      <c r="F23" s="93">
        <f>E23*15.66/1000</f>
        <v>0.31319999999999998</v>
      </c>
      <c r="G23" s="94">
        <f>E23*94.03/1000</f>
        <v>1.8805999999999998</v>
      </c>
      <c r="H23" s="94">
        <f>E23*34.25/1000</f>
        <v>0.68500000000000005</v>
      </c>
      <c r="I23" s="94">
        <f>E23*1058.89/1000</f>
        <v>21.177800000000001</v>
      </c>
      <c r="J23" s="106"/>
    </row>
    <row r="24" spans="1:10" ht="30" x14ac:dyDescent="0.25">
      <c r="A24" s="14"/>
      <c r="B24" s="39"/>
      <c r="C24" s="96" t="s">
        <v>63</v>
      </c>
      <c r="D24" s="91" t="s">
        <v>62</v>
      </c>
      <c r="E24" s="78">
        <v>140</v>
      </c>
      <c r="F24" s="76">
        <f>E24*0.33/200</f>
        <v>0.23100000000000001</v>
      </c>
      <c r="G24" s="76">
        <f>E24*0.2/200</f>
        <v>0.14000000000000001</v>
      </c>
      <c r="H24" s="76">
        <f>E24*21.87/200</f>
        <v>15.309000000000001</v>
      </c>
      <c r="I24" s="76">
        <f>E24*90.58/200</f>
        <v>63.405999999999992</v>
      </c>
      <c r="J24" s="105"/>
    </row>
    <row r="25" spans="1:10" ht="15.75" x14ac:dyDescent="0.25">
      <c r="A25" s="14"/>
      <c r="B25" s="15"/>
      <c r="C25" s="97" t="s">
        <v>50</v>
      </c>
      <c r="D25" s="86" t="s">
        <v>51</v>
      </c>
      <c r="E25" s="78">
        <v>25</v>
      </c>
      <c r="F25" s="76">
        <f>E25*6.6/100</f>
        <v>1.65</v>
      </c>
      <c r="G25" s="80">
        <f>E25*1.2/100</f>
        <v>0.3</v>
      </c>
      <c r="H25" s="80">
        <f>E25*33.4/100</f>
        <v>8.35</v>
      </c>
      <c r="I25" s="80">
        <f>E25*174/100</f>
        <v>43.5</v>
      </c>
      <c r="J25" s="105"/>
    </row>
    <row r="26" spans="1:10" ht="15.75" x14ac:dyDescent="0.25">
      <c r="A26" s="6"/>
      <c r="B26" s="24"/>
      <c r="C26" s="98"/>
      <c r="D26" s="99"/>
      <c r="E26" s="78"/>
      <c r="F26" s="76"/>
      <c r="G26" s="80"/>
      <c r="H26" s="80"/>
      <c r="I26" s="80"/>
    </row>
    <row r="27" spans="1:10" x14ac:dyDescent="0.25">
      <c r="A27" s="100" t="s">
        <v>36</v>
      </c>
      <c r="B27" s="101"/>
      <c r="C27" s="95" t="s">
        <v>66</v>
      </c>
      <c r="D27" s="74" t="s">
        <v>64</v>
      </c>
      <c r="E27" s="102">
        <v>65</v>
      </c>
      <c r="F27" s="103">
        <f>E27*12.15/165</f>
        <v>4.7863636363636362</v>
      </c>
      <c r="G27" s="103">
        <f>E27*12.68/165</f>
        <v>4.9951515151515151</v>
      </c>
      <c r="H27" s="103">
        <f>E27*96.97/165</f>
        <v>38.200303030303033</v>
      </c>
      <c r="I27" s="103">
        <f>E27*410.76/165</f>
        <v>161.81454545454545</v>
      </c>
      <c r="J27" s="105"/>
    </row>
    <row r="28" spans="1:10" x14ac:dyDescent="0.25">
      <c r="A28" s="1"/>
      <c r="B28" s="1"/>
      <c r="C28" s="95" t="s">
        <v>67</v>
      </c>
      <c r="D28" s="74" t="s">
        <v>65</v>
      </c>
      <c r="E28" s="112">
        <v>150</v>
      </c>
      <c r="F28" s="113">
        <v>0</v>
      </c>
      <c r="G28" s="113">
        <v>0</v>
      </c>
      <c r="H28" s="113">
        <f>E28*15.04/200</f>
        <v>11.28</v>
      </c>
      <c r="I28" s="113">
        <f>E28*60.12/200</f>
        <v>45.09</v>
      </c>
      <c r="J28" s="105"/>
    </row>
  </sheetData>
  <mergeCells count="8">
    <mergeCell ref="A9:D9"/>
    <mergeCell ref="E9:G9"/>
    <mergeCell ref="A1:I1"/>
    <mergeCell ref="G3:I3"/>
    <mergeCell ref="G4:I4"/>
    <mergeCell ref="G5:I5"/>
    <mergeCell ref="A7:D7"/>
    <mergeCell ref="H7: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061EB-FC19-4CA9-8288-417B43F7C71F}">
  <dimension ref="A1:I28"/>
  <sheetViews>
    <sheetView topLeftCell="A2" workbookViewId="0">
      <selection activeCell="K10" sqref="K10"/>
    </sheetView>
  </sheetViews>
  <sheetFormatPr defaultRowHeight="15" x14ac:dyDescent="0.25"/>
  <cols>
    <col min="3" max="3" width="7" customWidth="1"/>
    <col min="4" max="4" width="24.140625" customWidth="1"/>
    <col min="5" max="5" width="6.28515625" customWidth="1"/>
    <col min="6" max="6" width="7.140625" customWidth="1"/>
    <col min="7" max="7" width="6.85546875" customWidth="1"/>
    <col min="8" max="8" width="7.5703125" customWidth="1"/>
  </cols>
  <sheetData>
    <row r="1" spans="1:9" x14ac:dyDescent="0.25">
      <c r="A1" s="124" t="s">
        <v>14</v>
      </c>
      <c r="B1" s="124"/>
      <c r="C1" s="124"/>
      <c r="D1" s="124"/>
      <c r="E1" s="124"/>
      <c r="F1" s="124"/>
      <c r="G1" s="124"/>
      <c r="H1" s="124"/>
      <c r="I1" s="124"/>
    </row>
    <row r="3" spans="1:9" ht="18.75" x14ac:dyDescent="0.3">
      <c r="A3" s="6"/>
      <c r="B3" s="6"/>
      <c r="C3" s="6"/>
      <c r="D3" s="6"/>
      <c r="G3" s="115" t="s">
        <v>17</v>
      </c>
      <c r="H3" s="115"/>
      <c r="I3" s="115"/>
    </row>
    <row r="4" spans="1:9" ht="15.75" x14ac:dyDescent="0.25">
      <c r="A4" s="6"/>
      <c r="B4" s="6"/>
      <c r="C4" s="6"/>
      <c r="D4" s="6"/>
      <c r="G4" s="116" t="s">
        <v>18</v>
      </c>
      <c r="H4" s="116"/>
      <c r="I4" s="116"/>
    </row>
    <row r="5" spans="1:9" ht="15.75" x14ac:dyDescent="0.25">
      <c r="A5" s="6"/>
      <c r="B5" s="6"/>
      <c r="C5" s="6"/>
      <c r="D5" s="6"/>
      <c r="G5" s="117" t="s">
        <v>19</v>
      </c>
      <c r="H5" s="117"/>
      <c r="I5" s="117"/>
    </row>
    <row r="6" spans="1:9" ht="15.75" x14ac:dyDescent="0.25">
      <c r="A6" s="6"/>
      <c r="B6" s="6"/>
      <c r="C6" s="6"/>
      <c r="D6" s="6"/>
      <c r="E6" s="52"/>
      <c r="F6" s="52"/>
    </row>
    <row r="7" spans="1:9" ht="15.75" x14ac:dyDescent="0.25">
      <c r="A7" s="121" t="s">
        <v>42</v>
      </c>
      <c r="B7" s="122"/>
      <c r="C7" s="122"/>
      <c r="D7" s="122"/>
      <c r="E7" s="52"/>
      <c r="F7" s="52"/>
      <c r="H7" s="125" t="s">
        <v>43</v>
      </c>
      <c r="I7" s="125"/>
    </row>
    <row r="8" spans="1:9" ht="15.75" x14ac:dyDescent="0.25">
      <c r="A8" s="6"/>
      <c r="B8" s="6"/>
      <c r="C8" s="6"/>
      <c r="D8" s="6"/>
      <c r="E8" s="6"/>
      <c r="F8" s="6"/>
      <c r="G8" s="6"/>
      <c r="H8" s="6"/>
    </row>
    <row r="9" spans="1:9" ht="15.75" x14ac:dyDescent="0.25">
      <c r="A9" s="121"/>
      <c r="B9" s="122"/>
      <c r="C9" s="122"/>
      <c r="D9" s="122"/>
      <c r="E9" s="123" t="s">
        <v>70</v>
      </c>
      <c r="F9" s="122"/>
      <c r="G9" s="122"/>
      <c r="H9" s="70">
        <v>5</v>
      </c>
      <c r="I9" t="s">
        <v>1</v>
      </c>
    </row>
    <row r="10" spans="1:9" ht="16.5" thickBot="1" x14ac:dyDescent="0.3">
      <c r="A10" s="6"/>
      <c r="B10" s="11"/>
      <c r="C10" s="11"/>
      <c r="D10" s="11"/>
      <c r="E10" s="11"/>
      <c r="F10" s="11"/>
      <c r="G10" s="11"/>
      <c r="H10" s="11"/>
    </row>
    <row r="11" spans="1:9" ht="32.25" thickBot="1" x14ac:dyDescent="0.3">
      <c r="A11" s="29" t="s">
        <v>2</v>
      </c>
      <c r="B11" s="30" t="s">
        <v>3</v>
      </c>
      <c r="C11" s="71" t="s">
        <v>12</v>
      </c>
      <c r="D11" s="30" t="s">
        <v>4</v>
      </c>
      <c r="E11" s="32" t="s">
        <v>13</v>
      </c>
      <c r="F11" s="31" t="s">
        <v>20</v>
      </c>
      <c r="G11" s="31" t="s">
        <v>21</v>
      </c>
      <c r="H11" s="40" t="s">
        <v>22</v>
      </c>
      <c r="I11" s="45" t="s">
        <v>34</v>
      </c>
    </row>
    <row r="12" spans="1:9" ht="39" customHeight="1" x14ac:dyDescent="0.25">
      <c r="A12" s="72" t="s">
        <v>5</v>
      </c>
      <c r="B12" s="73" t="s">
        <v>6</v>
      </c>
      <c r="C12" s="106" t="s">
        <v>52</v>
      </c>
      <c r="D12" s="104" t="s">
        <v>35</v>
      </c>
      <c r="E12" s="78">
        <v>180</v>
      </c>
      <c r="F12" s="76">
        <f>E12*28.56/1000</f>
        <v>5.1408000000000005</v>
      </c>
      <c r="G12" s="76">
        <f>E12*26.26/1000</f>
        <v>4.7267999999999999</v>
      </c>
      <c r="H12" s="76">
        <f>E12*86.25/1000</f>
        <v>15.525</v>
      </c>
      <c r="I12" s="76">
        <f>E12*715.68/1000</f>
        <v>128.82239999999999</v>
      </c>
    </row>
    <row r="13" spans="1:9" ht="34.5" customHeight="1" x14ac:dyDescent="0.25">
      <c r="A13" s="14"/>
      <c r="B13" s="77" t="s">
        <v>7</v>
      </c>
      <c r="C13" s="92" t="s">
        <v>53</v>
      </c>
      <c r="D13" s="104" t="s">
        <v>41</v>
      </c>
      <c r="E13" s="78">
        <v>180</v>
      </c>
      <c r="F13" s="76">
        <f>E13*2.29/200</f>
        <v>2.0609999999999999</v>
      </c>
      <c r="G13" s="76">
        <f>E13*2.67/200</f>
        <v>2.403</v>
      </c>
      <c r="H13" s="76">
        <f>E13*26.11/200</f>
        <v>23.499000000000002</v>
      </c>
      <c r="I13" s="76">
        <f>E13*138.36/200</f>
        <v>124.52400000000002</v>
      </c>
    </row>
    <row r="14" spans="1:9" ht="15.75" x14ac:dyDescent="0.25">
      <c r="A14" s="14"/>
      <c r="B14" s="79" t="s">
        <v>45</v>
      </c>
      <c r="C14" s="75" t="s">
        <v>54</v>
      </c>
      <c r="D14" s="86" t="s">
        <v>29</v>
      </c>
      <c r="E14" s="78">
        <v>4</v>
      </c>
      <c r="F14" s="76">
        <f>E14*0.5/100</f>
        <v>0.02</v>
      </c>
      <c r="G14" s="76">
        <f>E14*82.5/100</f>
        <v>3.3</v>
      </c>
      <c r="H14" s="76">
        <f>E14*0.8/100</f>
        <v>3.2000000000000001E-2</v>
      </c>
      <c r="I14" s="76">
        <f>E14*748/100</f>
        <v>29.92</v>
      </c>
    </row>
    <row r="15" spans="1:9" ht="15.75" x14ac:dyDescent="0.25">
      <c r="A15" s="14"/>
      <c r="B15" s="79"/>
      <c r="C15" s="75" t="s">
        <v>55</v>
      </c>
      <c r="D15" s="86" t="s">
        <v>46</v>
      </c>
      <c r="E15" s="78">
        <v>32</v>
      </c>
      <c r="F15" s="76">
        <f>E15*7.6/100</f>
        <v>2.4319999999999999</v>
      </c>
      <c r="G15" s="80">
        <f>E15*0.8/100</f>
        <v>0.25600000000000001</v>
      </c>
      <c r="H15" s="80">
        <f>E15*49.2/100</f>
        <v>15.744000000000002</v>
      </c>
      <c r="I15" s="80">
        <f>E15*235/100</f>
        <v>75.2</v>
      </c>
    </row>
    <row r="16" spans="1:9" ht="15.75" x14ac:dyDescent="0.25">
      <c r="A16" s="14"/>
      <c r="B16" s="79"/>
      <c r="C16" s="75" t="s">
        <v>57</v>
      </c>
      <c r="D16" s="86" t="s">
        <v>56</v>
      </c>
      <c r="E16" s="75">
        <v>8</v>
      </c>
      <c r="F16" s="76">
        <f>E16*25.6/100</f>
        <v>2.048</v>
      </c>
      <c r="G16" s="80">
        <f>E16*26.1/100</f>
        <v>2.0880000000000001</v>
      </c>
      <c r="H16" s="80">
        <v>0</v>
      </c>
      <c r="I16" s="80">
        <f>E16*343/100</f>
        <v>27.44</v>
      </c>
    </row>
    <row r="17" spans="1:9" ht="15.75" x14ac:dyDescent="0.25">
      <c r="A17" s="14"/>
      <c r="B17" s="81"/>
      <c r="C17" s="82"/>
      <c r="D17" s="2"/>
      <c r="E17" s="34"/>
      <c r="F17" s="47"/>
      <c r="G17" s="47"/>
      <c r="H17" s="47"/>
      <c r="I17" s="47"/>
    </row>
    <row r="18" spans="1:9" ht="15.75" x14ac:dyDescent="0.25">
      <c r="A18" s="83" t="s">
        <v>47</v>
      </c>
      <c r="B18" s="84"/>
      <c r="C18" s="85" t="s">
        <v>48</v>
      </c>
      <c r="D18" s="74" t="s">
        <v>49</v>
      </c>
      <c r="E18" s="78">
        <v>100</v>
      </c>
      <c r="F18" s="80">
        <f>E18*0.5/100</f>
        <v>0.5</v>
      </c>
      <c r="G18" s="80">
        <f>E18*0.1/100</f>
        <v>0.1</v>
      </c>
      <c r="H18" s="80">
        <f>E18*10.1/100</f>
        <v>10.1</v>
      </c>
      <c r="I18" s="80">
        <f>E18*46/100</f>
        <v>46</v>
      </c>
    </row>
    <row r="19" spans="1:9" ht="16.5" thickBot="1" x14ac:dyDescent="0.3">
      <c r="A19" s="19"/>
      <c r="B19" s="20"/>
      <c r="C19" s="87"/>
      <c r="D19" s="36"/>
      <c r="E19" s="5"/>
      <c r="F19" s="21"/>
      <c r="G19" s="21"/>
      <c r="H19" s="42"/>
      <c r="I19" s="88"/>
    </row>
    <row r="20" spans="1:9" ht="33" customHeight="1" x14ac:dyDescent="0.25">
      <c r="A20" s="68" t="s">
        <v>8</v>
      </c>
      <c r="B20" s="89" t="s">
        <v>9</v>
      </c>
      <c r="C20" s="90" t="s">
        <v>58</v>
      </c>
      <c r="D20" s="91" t="s">
        <v>37</v>
      </c>
      <c r="E20" s="78">
        <v>60</v>
      </c>
      <c r="F20" s="107">
        <f>E20*1.1/100</f>
        <v>0.66</v>
      </c>
      <c r="G20" s="107">
        <f>E20*0.2/100</f>
        <v>0.12</v>
      </c>
      <c r="H20" s="107">
        <f>E20*3.8/100</f>
        <v>2.2799999999999998</v>
      </c>
      <c r="I20" s="107">
        <f>E20*24/100</f>
        <v>14.4</v>
      </c>
    </row>
    <row r="21" spans="1:9" ht="39" customHeight="1" x14ac:dyDescent="0.25">
      <c r="A21" s="14"/>
      <c r="B21" s="37" t="s">
        <v>10</v>
      </c>
      <c r="C21" s="95" t="s">
        <v>59</v>
      </c>
      <c r="D21" s="108" t="s">
        <v>38</v>
      </c>
      <c r="E21" s="92">
        <v>180</v>
      </c>
      <c r="F21" s="93">
        <f>E21*49.33/1000</f>
        <v>8.8794000000000004</v>
      </c>
      <c r="G21" s="94">
        <f>E21*20.24/1000</f>
        <v>3.6431999999999998</v>
      </c>
      <c r="H21" s="94">
        <f>E21*84.41/1000</f>
        <v>15.1938</v>
      </c>
      <c r="I21" s="94">
        <f>E21*788.8/1000</f>
        <v>141.98400000000001</v>
      </c>
    </row>
    <row r="22" spans="1:9" ht="36" customHeight="1" x14ac:dyDescent="0.25">
      <c r="A22" s="14"/>
      <c r="B22" s="38" t="s">
        <v>11</v>
      </c>
      <c r="C22" s="95" t="s">
        <v>60</v>
      </c>
      <c r="D22" s="111" t="s">
        <v>39</v>
      </c>
      <c r="E22" s="110">
        <v>160</v>
      </c>
      <c r="F22" s="93">
        <f>E22*23.28/200</f>
        <v>18.624000000000002</v>
      </c>
      <c r="G22" s="94">
        <f>E22*23.5/200</f>
        <v>18.8</v>
      </c>
      <c r="H22" s="94">
        <f>E22*18.87/200</f>
        <v>15.096000000000002</v>
      </c>
      <c r="I22" s="94">
        <f>E22*380.1/200</f>
        <v>304.08</v>
      </c>
    </row>
    <row r="23" spans="1:9" ht="15.75" x14ac:dyDescent="0.25">
      <c r="A23" s="14"/>
      <c r="C23" s="95" t="s">
        <v>61</v>
      </c>
      <c r="D23" s="109" t="s">
        <v>40</v>
      </c>
      <c r="E23" s="92">
        <v>30</v>
      </c>
      <c r="F23" s="93">
        <f>E23*15.66/1000</f>
        <v>0.4698</v>
      </c>
      <c r="G23" s="94">
        <f>E23*94.03/1000</f>
        <v>2.8209</v>
      </c>
      <c r="H23" s="94">
        <f>E23*34.25/1000</f>
        <v>1.0275000000000001</v>
      </c>
      <c r="I23" s="94">
        <f>E23*1058.89/1000</f>
        <v>31.766700000000004</v>
      </c>
    </row>
    <row r="24" spans="1:9" ht="30.75" customHeight="1" x14ac:dyDescent="0.25">
      <c r="A24" s="14"/>
      <c r="B24" s="39"/>
      <c r="C24" s="96" t="s">
        <v>63</v>
      </c>
      <c r="D24" s="91" t="s">
        <v>62</v>
      </c>
      <c r="E24" s="78">
        <v>180</v>
      </c>
      <c r="F24" s="76">
        <f>E24*0.33/200</f>
        <v>0.29700000000000004</v>
      </c>
      <c r="G24" s="76">
        <f>E24*0.2/200</f>
        <v>0.18</v>
      </c>
      <c r="H24" s="76">
        <f>E24*21.87/200</f>
        <v>19.683000000000003</v>
      </c>
      <c r="I24" s="76">
        <f>E24*90.58/200</f>
        <v>81.521999999999991</v>
      </c>
    </row>
    <row r="25" spans="1:9" ht="15.75" x14ac:dyDescent="0.25">
      <c r="A25" s="14"/>
      <c r="B25" s="15"/>
      <c r="C25" s="97" t="s">
        <v>50</v>
      </c>
      <c r="D25" s="86" t="s">
        <v>51</v>
      </c>
      <c r="E25" s="78">
        <v>36</v>
      </c>
      <c r="F25" s="76">
        <f>E25*6.6/100</f>
        <v>2.3759999999999999</v>
      </c>
      <c r="G25" s="80">
        <f>E25*1.2/100</f>
        <v>0.43199999999999994</v>
      </c>
      <c r="H25" s="80">
        <f>E25*33.4/100</f>
        <v>12.023999999999999</v>
      </c>
      <c r="I25" s="80">
        <f>E25*174/100</f>
        <v>62.64</v>
      </c>
    </row>
    <row r="26" spans="1:9" ht="15.75" x14ac:dyDescent="0.25">
      <c r="A26" s="6"/>
      <c r="B26" s="24"/>
      <c r="C26" s="98"/>
      <c r="D26" s="99"/>
      <c r="E26" s="78"/>
      <c r="F26" s="76"/>
      <c r="G26" s="80"/>
      <c r="H26" s="80"/>
      <c r="I26" s="80"/>
    </row>
    <row r="27" spans="1:9" x14ac:dyDescent="0.25">
      <c r="A27" s="100" t="s">
        <v>36</v>
      </c>
      <c r="B27" s="101"/>
      <c r="C27" s="95" t="s">
        <v>66</v>
      </c>
      <c r="D27" s="74" t="s">
        <v>64</v>
      </c>
      <c r="E27" s="102">
        <v>90</v>
      </c>
      <c r="F27" s="103">
        <f>E27*12.15/165</f>
        <v>6.627272727272727</v>
      </c>
      <c r="G27" s="103">
        <f>E27*12.68/165</f>
        <v>6.9163636363636369</v>
      </c>
      <c r="H27" s="103">
        <f>E27*96.97/165</f>
        <v>52.892727272727271</v>
      </c>
      <c r="I27" s="103">
        <f>E27*410.76/165</f>
        <v>224.0509090909091</v>
      </c>
    </row>
    <row r="28" spans="1:9" x14ac:dyDescent="0.25">
      <c r="A28" s="1"/>
      <c r="B28" s="1"/>
      <c r="C28" s="95" t="s">
        <v>67</v>
      </c>
      <c r="D28" s="74" t="s">
        <v>65</v>
      </c>
      <c r="E28" s="112">
        <v>180</v>
      </c>
      <c r="F28" s="113">
        <v>0</v>
      </c>
      <c r="G28" s="113">
        <v>0</v>
      </c>
      <c r="H28" s="113">
        <f>E28*15.04/200</f>
        <v>13.536</v>
      </c>
      <c r="I28" s="113">
        <f>E28*60.12/200</f>
        <v>54.108000000000004</v>
      </c>
    </row>
  </sheetData>
  <mergeCells count="8">
    <mergeCell ref="A9:D9"/>
    <mergeCell ref="E9:G9"/>
    <mergeCell ref="A1:I1"/>
    <mergeCell ref="G3:I3"/>
    <mergeCell ref="G4:I4"/>
    <mergeCell ref="G5:I5"/>
    <mergeCell ref="A7:D7"/>
    <mergeCell ref="H7: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7-11 лет</vt:lpstr>
      <vt:lpstr>12 и старше</vt:lpstr>
      <vt:lpstr>до 3 лет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 Артиева</cp:lastModifiedBy>
  <cp:lastPrinted>2025-09-14T15:45:44Z</cp:lastPrinted>
  <dcterms:created xsi:type="dcterms:W3CDTF">2015-06-05T18:19:34Z</dcterms:created>
  <dcterms:modified xsi:type="dcterms:W3CDTF">2025-10-05T17:23:23Z</dcterms:modified>
</cp:coreProperties>
</file>