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октябрь\"/>
    </mc:Choice>
  </mc:AlternateContent>
  <xr:revisionPtr revIDLastSave="0" documentId="13_ncr:1_{0091BB94-4F51-4C99-AC36-333380E72B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H20" i="2"/>
  <c r="G20" i="2"/>
  <c r="F20" i="2"/>
  <c r="I28" i="4"/>
  <c r="H28" i="4"/>
  <c r="G28" i="4"/>
  <c r="F28" i="4"/>
  <c r="I27" i="4"/>
  <c r="H27" i="4"/>
  <c r="G27" i="4"/>
  <c r="F27" i="4"/>
  <c r="I26" i="4"/>
  <c r="H26" i="4"/>
  <c r="G26" i="4"/>
  <c r="F26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9" i="4"/>
  <c r="H19" i="4"/>
  <c r="G19" i="4"/>
  <c r="F19" i="4"/>
  <c r="I18" i="4"/>
  <c r="H18" i="4"/>
  <c r="G18" i="4"/>
  <c r="F18" i="4"/>
  <c r="I16" i="4"/>
  <c r="H16" i="4"/>
  <c r="G16" i="4"/>
  <c r="F16" i="4"/>
  <c r="I14" i="4"/>
  <c r="H14" i="4"/>
  <c r="G14" i="4"/>
  <c r="F14" i="4"/>
  <c r="I13" i="4"/>
  <c r="H13" i="4"/>
  <c r="G13" i="4"/>
  <c r="F13" i="4"/>
  <c r="I12" i="4"/>
  <c r="H12" i="4"/>
  <c r="G12" i="4"/>
  <c r="F12" i="4"/>
  <c r="I28" i="3"/>
  <c r="H28" i="3"/>
  <c r="G28" i="3"/>
  <c r="F28" i="3"/>
  <c r="I27" i="3"/>
  <c r="H27" i="3"/>
  <c r="G27" i="3"/>
  <c r="F27" i="3"/>
  <c r="I26" i="3"/>
  <c r="H26" i="3"/>
  <c r="G26" i="3"/>
  <c r="F26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9" i="3"/>
  <c r="H19" i="3"/>
  <c r="G19" i="3"/>
  <c r="F19" i="3"/>
  <c r="I18" i="3"/>
  <c r="H18" i="3"/>
  <c r="G18" i="3"/>
  <c r="F18" i="3"/>
  <c r="I16" i="3"/>
  <c r="H16" i="3"/>
  <c r="G16" i="3"/>
  <c r="F16" i="3"/>
  <c r="I14" i="3"/>
  <c r="H14" i="3"/>
  <c r="G14" i="3"/>
  <c r="F14" i="3"/>
  <c r="I13" i="3"/>
  <c r="H13" i="3"/>
  <c r="G13" i="3"/>
  <c r="F13" i="3"/>
  <c r="I12" i="3"/>
  <c r="H12" i="3"/>
  <c r="G12" i="3"/>
  <c r="F12" i="3"/>
  <c r="I17" i="2" l="1"/>
  <c r="H17" i="2"/>
  <c r="G17" i="2"/>
  <c r="F17" i="2"/>
  <c r="I16" i="2"/>
  <c r="H16" i="2"/>
  <c r="G16" i="2"/>
  <c r="F16" i="2"/>
  <c r="I14" i="2"/>
  <c r="H14" i="2"/>
  <c r="G14" i="2"/>
  <c r="F14" i="2"/>
  <c r="I13" i="2"/>
  <c r="H13" i="2"/>
  <c r="G13" i="2"/>
  <c r="F13" i="2"/>
  <c r="I12" i="2"/>
  <c r="H12" i="2"/>
  <c r="G12" i="2"/>
  <c r="F12" i="2"/>
  <c r="I11" i="2"/>
  <c r="H11" i="2"/>
  <c r="G11" i="2"/>
  <c r="F11" i="2"/>
  <c r="I25" i="1"/>
  <c r="H25" i="1"/>
  <c r="G25" i="1"/>
  <c r="F25" i="1"/>
  <c r="I24" i="1"/>
  <c r="H24" i="1"/>
  <c r="G24" i="1"/>
  <c r="F24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6" i="1"/>
  <c r="H16" i="1"/>
  <c r="G16" i="1"/>
  <c r="F16" i="1"/>
  <c r="I13" i="1"/>
  <c r="H13" i="1"/>
  <c r="G13" i="1"/>
  <c r="F13" i="1"/>
  <c r="I12" i="1"/>
  <c r="H12" i="1"/>
  <c r="G12" i="1"/>
  <c r="F12" i="1"/>
  <c r="I10" i="1"/>
  <c r="H10" i="1"/>
  <c r="G10" i="1"/>
  <c r="F10" i="1"/>
</calcChain>
</file>

<file path=xl/sharedStrings.xml><?xml version="1.0" encoding="utf-8"?>
<sst xmlns="http://schemas.openxmlformats.org/spreadsheetml/2006/main" count="196" uniqueCount="84">
  <si>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</si>
  <si>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</si>
  <si>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</si>
  <si>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</si>
  <si>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</si>
  <si>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</si>
  <si>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</si>
  <si>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</si>
  <si>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</si>
  <si>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</si>
  <si>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</si>
  <si>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</si>
  <si>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</si>
  <si>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</t>
  </si>
  <si>
    <t>№ рец.</t>
  </si>
  <si>
    <t>Выход, г</t>
  </si>
  <si>
    <t>МБОУ "КСОШ им.Героя РФ С.В.Перца"</t>
  </si>
  <si>
    <t xml:space="preserve">компот 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</si>
  <si>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</si>
  <si>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</si>
  <si>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</si>
  <si>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</si>
  <si>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</si>
  <si>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</si>
  <si>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</si>
  <si>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</si>
  <si>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Ккл</t>
  </si>
  <si>
    <t xml:space="preserve">Запеканка из творога </t>
  </si>
  <si>
    <t xml:space="preserve">какао с молоком </t>
  </si>
  <si>
    <t>хлеб пшеничный</t>
  </si>
  <si>
    <t>груша</t>
  </si>
  <si>
    <t>54-21г</t>
  </si>
  <si>
    <t>молоко кипяченое</t>
  </si>
  <si>
    <t>вафли</t>
  </si>
  <si>
    <t>№ 18</t>
  </si>
  <si>
    <t>салат из св. помидоров и огурцов</t>
  </si>
  <si>
    <t>№ 43</t>
  </si>
  <si>
    <t xml:space="preserve">Свекольник </t>
  </si>
  <si>
    <t>№ 219</t>
  </si>
  <si>
    <t>каша гречневая рассыпчатая</t>
  </si>
  <si>
    <t>№ 203</t>
  </si>
  <si>
    <t>фрикадельки из говядины паровые</t>
  </si>
  <si>
    <t>№ 293</t>
  </si>
  <si>
    <t>сок фруктовый</t>
  </si>
  <si>
    <t>хлеб пшеничн.</t>
  </si>
  <si>
    <t>хлеб ржаной</t>
  </si>
  <si>
    <t>Ю.П.Артиева</t>
  </si>
  <si>
    <t>12 и старше</t>
  </si>
  <si>
    <t>Салат из св. помидоров и огурцов</t>
  </si>
  <si>
    <t>Каша гречневая рассыпчатая</t>
  </si>
  <si>
    <t>Фрикадельки из говядины паровые</t>
  </si>
  <si>
    <t>Дошкольное отделение</t>
  </si>
  <si>
    <t>Понедельник</t>
  </si>
  <si>
    <t>до 3 лет</t>
  </si>
  <si>
    <t>кКал</t>
  </si>
  <si>
    <t>Хлеб пшеничный</t>
  </si>
  <si>
    <t>II завтрак:</t>
  </si>
  <si>
    <t>№126</t>
  </si>
  <si>
    <t>№122</t>
  </si>
  <si>
    <t>№123</t>
  </si>
  <si>
    <t>Хлеб ржаной</t>
  </si>
  <si>
    <t>Полдник</t>
  </si>
  <si>
    <t>Запеканка из творога</t>
  </si>
  <si>
    <t>Какао с молоком</t>
  </si>
  <si>
    <t>№323</t>
  </si>
  <si>
    <t>№508</t>
  </si>
  <si>
    <t>Плоды свежие (груша)</t>
  </si>
  <si>
    <t>Салат из свежих помидоров и огурцов</t>
  </si>
  <si>
    <t>№18</t>
  </si>
  <si>
    <t>Свекольник</t>
  </si>
  <si>
    <t>№145</t>
  </si>
  <si>
    <t>№252</t>
  </si>
  <si>
    <t>№401</t>
  </si>
  <si>
    <t>Гарнир</t>
  </si>
  <si>
    <t>Сок фруктовый</t>
  </si>
  <si>
    <t>№532</t>
  </si>
  <si>
    <t>Винегрет овощной</t>
  </si>
  <si>
    <t>Яйца вареные</t>
  </si>
  <si>
    <t>Йогурт</t>
  </si>
  <si>
    <t>№90</t>
  </si>
  <si>
    <t>№310</t>
  </si>
  <si>
    <t>№531</t>
  </si>
  <si>
    <t>№ 288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</si>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</sst>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4" fontId="7" fillId="2" borderId="0" xfId="0" applyNumberFormat="1" applyFont="1" applyFill="1" applyProtection="1">
      <protection locked="0"/>
    </xf>
    <xf numFmtId="0" fontId="6" fillId="2" borderId="0" xfId="0" applyFont="1" applyFill="1"/>
    <xf numFmtId="0" fontId="7" fillId="0" borderId="5" xfId="0" applyFont="1" applyBorder="1"/>
    <xf numFmtId="0" fontId="6" fillId="2" borderId="6" xfId="0" applyFont="1" applyFill="1" applyBorder="1"/>
    <xf numFmtId="0" fontId="6" fillId="2" borderId="6" xfId="0" applyFont="1" applyFill="1" applyBorder="1" applyAlignment="1" applyProtection="1">
      <alignment horizontal="center"/>
      <protection locked="0"/>
    </xf>
    <xf numFmtId="0" fontId="6" fillId="0" borderId="7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0" borderId="8" xfId="0" applyFont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7" xfId="0" applyFont="1" applyBorder="1"/>
    <xf numFmtId="0" fontId="6" fillId="2" borderId="4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Protection="1">
      <protection locked="0"/>
    </xf>
    <xf numFmtId="0" fontId="6" fillId="0" borderId="2" xfId="0" applyFont="1" applyBorder="1"/>
    <xf numFmtId="0" fontId="7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2" borderId="3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2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1" applyNumberFormat="1" applyFont="1" applyBorder="1"/>
    <xf numFmtId="2" fontId="1" fillId="0" borderId="1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6" fillId="2" borderId="4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2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1" xfId="0" applyFont="1" applyBorder="1" applyAlignment="1">
      <alignment horizontal="left" vertical="center"/>
    </xf>
    <xf numFmtId="0" fontId="7" fillId="2" borderId="0" xfId="0" applyFont="1" applyFill="1" applyAlignment="1" applyProtection="1">
      <alignment horizontal="center"/>
      <protection locked="0"/>
    </xf>
    <xf numFmtId="0" fontId="12" fillId="2" borderId="11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4" fillId="2" borderId="1" xfId="0" applyFont="1" applyFill="1" applyBorder="1" applyProtection="1">
      <protection locked="0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6" fillId="2" borderId="18" xfId="0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9" fillId="0" borderId="3" xfId="0" applyFont="1" applyBorder="1"/>
    <xf numFmtId="0" fontId="9" fillId="0" borderId="1" xfId="0" applyFont="1" applyBorder="1"/>
    <xf numFmtId="2" fontId="9" fillId="0" borderId="1" xfId="0" applyNumberFormat="1" applyFont="1" applyBorder="1" applyAlignment="1">
      <alignment horizontal="right"/>
    </xf>
    <xf numFmtId="0" fontId="13" fillId="2" borderId="9" xfId="0" applyFont="1" applyFill="1" applyBorder="1" applyAlignment="1" applyProtection="1">
      <alignment horizontal="center"/>
      <protection locked="0"/>
    </xf>
    <xf numFmtId="0" fontId="17" fillId="0" borderId="1" xfId="0" applyFont="1" applyBorder="1"/>
    <xf numFmtId="0" fontId="7" fillId="0" borderId="7" xfId="0" applyFont="1" applyBorder="1" applyAlignment="1">
      <alignment vertical="center"/>
    </xf>
    <xf numFmtId="0" fontId="18" fillId="2" borderId="4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/>
    </xf>
    <xf numFmtId="2" fontId="9" fillId="0" borderId="1" xfId="0" applyNumberFormat="1" applyFont="1" applyBorder="1"/>
    <xf numFmtId="0" fontId="14" fillId="0" borderId="1" xfId="0" applyFont="1" applyBorder="1" applyAlignment="1">
      <alignment horizontal="left" vertical="center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9" fillId="2" borderId="3" xfId="1" applyFont="1" applyFill="1" applyBorder="1"/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2" borderId="3" xfId="0" applyFont="1" applyFill="1" applyBorder="1"/>
    <xf numFmtId="0" fontId="9" fillId="2" borderId="1" xfId="0" applyFont="1" applyFill="1" applyBorder="1"/>
    <xf numFmtId="2" fontId="9" fillId="2" borderId="1" xfId="0" applyNumberFormat="1" applyFont="1" applyFill="1" applyBorder="1"/>
    <xf numFmtId="0" fontId="4" fillId="0" borderId="1" xfId="0" applyFont="1" applyBorder="1" applyAlignment="1">
      <alignment horizontal="right"/>
    </xf>
    <xf numFmtId="0" fontId="9" fillId="0" borderId="3" xfId="0" applyFont="1" applyBorder="1" applyAlignment="1">
      <alignment wrapText="1"/>
    </xf>
    <xf numFmtId="0" fontId="9" fillId="0" borderId="12" xfId="0" applyFont="1" applyBorder="1" applyAlignment="1">
      <alignment horizontal="right"/>
    </xf>
    <xf numFmtId="0" fontId="5" fillId="2" borderId="0" xfId="0" applyFont="1" applyFill="1" applyAlignment="1" applyProtection="1">
      <alignment horizontal="center"/>
      <protection locked="0"/>
    </xf>
    <xf numFmtId="0" fontId="4" fillId="2" borderId="0" xfId="0" applyFont="1" applyFill="1"/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/>
    <xf numFmtId="0" fontId="19" fillId="0" borderId="1" xfId="0" applyFont="1" applyBorder="1" applyAlignment="1">
      <alignment horizontal="left" vertical="center"/>
    </xf>
    <xf numFmtId="0" fontId="4" fillId="2" borderId="18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9" fillId="0" borderId="1" xfId="1" applyFont="1" applyBorder="1" applyAlignment="1">
      <alignment horizontal="center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vertical="center"/>
    </xf>
    <xf numFmtId="0" fontId="20" fillId="2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2" xfId="0" applyFont="1" applyFill="1" applyBorder="1" applyAlignment="1" applyProtection="1">
      <alignment vertical="center"/>
      <protection locked="0"/>
    </xf>
    <xf numFmtId="0" fontId="4" fillId="0" borderId="1" xfId="0" applyFont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2" borderId="0" xfId="0" applyFont="1" applyFill="1" applyProtection="1"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20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3:I28"/>
  <sheetViews>
    <sheetView tabSelected="1" zoomScaleNormal="100" workbookViewId="0">
      <selection activeCell="P16" sqref="P16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5.75" x14ac:dyDescent="0.25">
      <c r="A3" s="9"/>
      <c r="B3" s="9"/>
      <c r="C3" s="9"/>
      <c r="D3" s="9"/>
      <c r="E3" s="138" t="s">
        <v>20</v>
      </c>
      <c r="F3" s="138"/>
    </row>
    <row r="4" spans="1:9" ht="15.75" x14ac:dyDescent="0.25">
      <c r="A4" s="9"/>
      <c r="B4" s="9"/>
      <c r="C4" s="9"/>
      <c r="D4" s="9"/>
      <c r="E4" s="139" t="s">
        <v>21</v>
      </c>
      <c r="F4" s="139"/>
    </row>
    <row r="5" spans="1:9" ht="15.75" x14ac:dyDescent="0.25">
      <c r="A5" s="9"/>
      <c r="B5" s="9"/>
      <c r="C5" s="9"/>
      <c r="D5" s="9"/>
      <c r="E5" s="140" t="s">
        <v>22</v>
      </c>
      <c r="F5" s="140"/>
    </row>
    <row r="6" spans="1:9" ht="15.75" x14ac:dyDescent="0.25">
      <c r="A6" s="9"/>
      <c r="B6" s="9"/>
      <c r="C6" s="9"/>
      <c r="D6" s="9"/>
      <c r="E6" s="9"/>
      <c r="F6" s="9"/>
      <c r="G6" s="9"/>
      <c r="H6" s="9"/>
    </row>
    <row r="7" spans="1:9" ht="15.75" x14ac:dyDescent="0.25">
      <c r="A7" s="10" t="s">
        <v>0</v>
      </c>
      <c r="B7" s="141" t="s">
        <v>16</v>
      </c>
      <c r="C7" s="141"/>
      <c r="D7" s="141"/>
      <c r="E7" s="12" t="s">
        <v>18</v>
      </c>
      <c r="F7" s="12">
        <v>4</v>
      </c>
      <c r="G7" s="11" t="s">
        <v>1</v>
      </c>
      <c r="H7" s="13"/>
    </row>
    <row r="8" spans="1:9" ht="7.5" customHeight="1" thickBot="1" x14ac:dyDescent="0.3">
      <c r="A8" s="9"/>
      <c r="B8" s="14"/>
      <c r="C8" s="14"/>
      <c r="D8" s="14"/>
      <c r="E8" s="14"/>
      <c r="F8" s="14"/>
      <c r="G8" s="14"/>
      <c r="H8" s="14"/>
    </row>
    <row r="9" spans="1:9" ht="32.25" thickBot="1" x14ac:dyDescent="0.3">
      <c r="A9" s="35" t="s">
        <v>2</v>
      </c>
      <c r="B9" s="36" t="s">
        <v>3</v>
      </c>
      <c r="C9" s="36" t="s">
        <v>14</v>
      </c>
      <c r="D9" s="36" t="s">
        <v>4</v>
      </c>
      <c r="E9" s="38" t="s">
        <v>15</v>
      </c>
      <c r="F9" s="37" t="s">
        <v>23</v>
      </c>
      <c r="G9" s="37" t="s">
        <v>24</v>
      </c>
      <c r="H9" s="48" t="s">
        <v>25</v>
      </c>
      <c r="I9" s="53" t="s">
        <v>26</v>
      </c>
    </row>
    <row r="10" spans="1:9" ht="15.75" x14ac:dyDescent="0.25">
      <c r="A10" s="15" t="s">
        <v>5</v>
      </c>
      <c r="B10" s="16" t="s">
        <v>6</v>
      </c>
      <c r="C10" s="17">
        <v>141</v>
      </c>
      <c r="D10" s="41" t="s">
        <v>27</v>
      </c>
      <c r="E10" s="5">
        <v>200</v>
      </c>
      <c r="F10" s="54">
        <f>E10*29.22/190</f>
        <v>30.757894736842104</v>
      </c>
      <c r="G10" s="54">
        <f>E10*12.1/190</f>
        <v>12.736842105263158</v>
      </c>
      <c r="H10" s="54">
        <f>E10*29.1/190</f>
        <v>30.631578947368421</v>
      </c>
      <c r="I10" s="54">
        <f>E10*342.23/190</f>
        <v>360.2421052631579</v>
      </c>
    </row>
    <row r="11" spans="1:9" ht="15.75" x14ac:dyDescent="0.25">
      <c r="A11" s="18"/>
      <c r="B11" s="19" t="s">
        <v>7</v>
      </c>
      <c r="C11" s="20" t="s">
        <v>31</v>
      </c>
      <c r="D11" s="4" t="s">
        <v>28</v>
      </c>
      <c r="E11" s="7">
        <v>200</v>
      </c>
      <c r="F11" s="55">
        <v>4.5999999999999996</v>
      </c>
      <c r="G11" s="55">
        <v>3.6</v>
      </c>
      <c r="H11" s="55">
        <v>12.6</v>
      </c>
      <c r="I11" s="55">
        <v>100.4</v>
      </c>
    </row>
    <row r="12" spans="1:9" ht="15.75" x14ac:dyDescent="0.25">
      <c r="A12" s="18"/>
      <c r="B12" s="19" t="s">
        <v>13</v>
      </c>
      <c r="C12" s="20"/>
      <c r="D12" s="41" t="s">
        <v>29</v>
      </c>
      <c r="E12" s="5">
        <v>40</v>
      </c>
      <c r="F12" s="54">
        <f>E12*6.9/100</f>
        <v>2.76</v>
      </c>
      <c r="G12" s="56">
        <f>1*E12/100</f>
        <v>0.4</v>
      </c>
      <c r="H12" s="56">
        <f>E12*48.3/100</f>
        <v>19.32</v>
      </c>
      <c r="I12" s="56">
        <f>E12*235/100</f>
        <v>94</v>
      </c>
    </row>
    <row r="13" spans="1:9" ht="15.75" x14ac:dyDescent="0.25">
      <c r="A13" s="18"/>
      <c r="B13" s="22"/>
      <c r="C13" s="20">
        <v>89</v>
      </c>
      <c r="D13" s="4" t="s">
        <v>30</v>
      </c>
      <c r="E13" s="5">
        <v>100</v>
      </c>
      <c r="F13" s="56">
        <f>E13*0.4/100</f>
        <v>0.4</v>
      </c>
      <c r="G13" s="56">
        <f>E13*0.3/100</f>
        <v>0.3</v>
      </c>
      <c r="H13" s="56">
        <f>E13*9.5/100</f>
        <v>9.5</v>
      </c>
      <c r="I13" s="56">
        <f>E13*42/100</f>
        <v>42</v>
      </c>
    </row>
    <row r="14" spans="1:9" ht="16.5" thickBot="1" x14ac:dyDescent="0.3">
      <c r="A14" s="23"/>
      <c r="B14" s="24"/>
      <c r="C14" s="25"/>
      <c r="D14" s="4"/>
      <c r="E14" s="5"/>
      <c r="F14" s="26"/>
      <c r="G14" s="26"/>
      <c r="H14" s="50"/>
      <c r="I14" s="1"/>
    </row>
    <row r="15" spans="1:9" ht="15.75" x14ac:dyDescent="0.25">
      <c r="A15" s="15" t="s">
        <v>19</v>
      </c>
      <c r="B15" s="16"/>
      <c r="C15" s="17">
        <v>288</v>
      </c>
      <c r="D15" s="4" t="s">
        <v>32</v>
      </c>
      <c r="E15" s="40">
        <v>200</v>
      </c>
      <c r="F15" s="40">
        <v>5.59</v>
      </c>
      <c r="G15" s="40">
        <v>6.38</v>
      </c>
      <c r="H15" s="40">
        <v>9.3800000000000008</v>
      </c>
      <c r="I15" s="40">
        <v>117.31</v>
      </c>
    </row>
    <row r="16" spans="1:9" ht="15.75" x14ac:dyDescent="0.25">
      <c r="A16" s="27"/>
      <c r="B16" s="28"/>
      <c r="C16" s="29"/>
      <c r="D16" s="42" t="s">
        <v>33</v>
      </c>
      <c r="E16" s="40">
        <v>43</v>
      </c>
      <c r="F16" s="54">
        <f>E16*5.14/100</f>
        <v>2.2101999999999999</v>
      </c>
      <c r="G16" s="54">
        <f>E16*30.44/100</f>
        <v>13.0892</v>
      </c>
      <c r="H16" s="54">
        <f>E16*69.95/100</f>
        <v>30.078499999999998</v>
      </c>
      <c r="I16" s="54">
        <f>E16*527.3/100</f>
        <v>226.73899999999998</v>
      </c>
    </row>
    <row r="17" spans="1:9" ht="15.75" x14ac:dyDescent="0.25">
      <c r="A17" s="18"/>
      <c r="B17" s="22"/>
      <c r="C17" s="20"/>
      <c r="D17" s="43"/>
      <c r="E17" s="6"/>
      <c r="F17" s="21"/>
      <c r="G17" s="21"/>
      <c r="H17" s="49"/>
      <c r="I17" s="1"/>
    </row>
    <row r="18" spans="1:9" ht="16.5" thickBot="1" x14ac:dyDescent="0.3">
      <c r="A18" s="23"/>
      <c r="B18" s="24"/>
      <c r="C18" s="25"/>
      <c r="D18" s="44"/>
      <c r="E18" s="7"/>
      <c r="F18" s="26"/>
      <c r="G18" s="26"/>
      <c r="H18" s="50"/>
      <c r="I18" s="1"/>
    </row>
    <row r="19" spans="1:9" ht="31.5" x14ac:dyDescent="0.25">
      <c r="A19" s="27" t="s">
        <v>8</v>
      </c>
      <c r="B19" s="57" t="s">
        <v>9</v>
      </c>
      <c r="C19" s="59" t="s">
        <v>34</v>
      </c>
      <c r="D19" s="61" t="s">
        <v>35</v>
      </c>
      <c r="E19" s="8">
        <v>100</v>
      </c>
      <c r="F19" s="60">
        <f>E19*0.98/100</f>
        <v>0.98</v>
      </c>
      <c r="G19" s="60">
        <f>E19*5.13/100</f>
        <v>5.13</v>
      </c>
      <c r="H19" s="60">
        <f>E19*4.54/100</f>
        <v>4.54</v>
      </c>
      <c r="I19" s="60">
        <f>E19*65.81/100</f>
        <v>65.81</v>
      </c>
    </row>
    <row r="20" spans="1:9" ht="15.75" x14ac:dyDescent="0.25">
      <c r="A20" s="18"/>
      <c r="B20" s="45" t="s">
        <v>10</v>
      </c>
      <c r="C20" s="62" t="s">
        <v>36</v>
      </c>
      <c r="D20" s="3" t="s">
        <v>37</v>
      </c>
      <c r="E20" s="40">
        <v>250</v>
      </c>
      <c r="F20" s="54">
        <f>1.93*E20/250</f>
        <v>1.93</v>
      </c>
      <c r="G20" s="54">
        <f>6.34*E20/250</f>
        <v>6.34</v>
      </c>
      <c r="H20" s="54">
        <f>10.05*E20/250</f>
        <v>10.050000000000001</v>
      </c>
      <c r="I20" s="54">
        <f>104.16*E20/250</f>
        <v>104.16</v>
      </c>
    </row>
    <row r="21" spans="1:9" ht="15.75" x14ac:dyDescent="0.25">
      <c r="A21" s="18"/>
      <c r="B21" s="46" t="s">
        <v>12</v>
      </c>
      <c r="C21" s="62" t="s">
        <v>38</v>
      </c>
      <c r="D21" s="3" t="s">
        <v>39</v>
      </c>
      <c r="E21" s="40">
        <v>150</v>
      </c>
      <c r="F21" s="54">
        <f>E21*5.82/100</f>
        <v>8.73</v>
      </c>
      <c r="G21" s="56">
        <f>E21*3.62/100</f>
        <v>5.43</v>
      </c>
      <c r="H21" s="56">
        <f>E21*30/100</f>
        <v>45</v>
      </c>
      <c r="I21" s="56">
        <f>E21*175.87/100</f>
        <v>263.80500000000001</v>
      </c>
    </row>
    <row r="22" spans="1:9" ht="15.75" x14ac:dyDescent="0.25">
      <c r="A22" s="18"/>
      <c r="B22" s="46" t="s">
        <v>11</v>
      </c>
      <c r="C22" s="62" t="s">
        <v>40</v>
      </c>
      <c r="D22" s="3" t="s">
        <v>41</v>
      </c>
      <c r="E22" s="39">
        <v>100</v>
      </c>
      <c r="F22" s="54">
        <f>10.68*E22/100</f>
        <v>10.68</v>
      </c>
      <c r="G22" s="56">
        <f>9.97*E22/100</f>
        <v>9.9700000000000006</v>
      </c>
      <c r="H22" s="56">
        <f>5.33*E22/100</f>
        <v>5.33</v>
      </c>
      <c r="I22" s="56">
        <f>153.79*E22/100</f>
        <v>153.79</v>
      </c>
    </row>
    <row r="23" spans="1:9" ht="15.75" x14ac:dyDescent="0.25">
      <c r="A23" s="18"/>
      <c r="B23" s="47" t="s">
        <v>17</v>
      </c>
      <c r="C23" s="62" t="s">
        <v>42</v>
      </c>
      <c r="D23" s="3" t="s">
        <v>43</v>
      </c>
      <c r="E23" s="40">
        <v>200</v>
      </c>
      <c r="F23" s="40">
        <v>2</v>
      </c>
      <c r="G23" s="40">
        <v>0.2</v>
      </c>
      <c r="H23" s="40">
        <v>5.8</v>
      </c>
      <c r="I23" s="40">
        <v>36</v>
      </c>
    </row>
    <row r="24" spans="1:9" ht="15.75" x14ac:dyDescent="0.25">
      <c r="A24" s="18"/>
      <c r="B24" s="19"/>
      <c r="C24" s="58"/>
      <c r="D24" s="3" t="s">
        <v>44</v>
      </c>
      <c r="E24" s="40">
        <v>40</v>
      </c>
      <c r="F24" s="54">
        <f>E24*6.9/100</f>
        <v>2.76</v>
      </c>
      <c r="G24" s="56">
        <f>1*E24/100</f>
        <v>0.4</v>
      </c>
      <c r="H24" s="56">
        <f>E24*48.3/100</f>
        <v>19.32</v>
      </c>
      <c r="I24" s="56">
        <f>E24*235/100</f>
        <v>94</v>
      </c>
    </row>
    <row r="25" spans="1:9" ht="15.75" x14ac:dyDescent="0.25">
      <c r="A25" s="18"/>
      <c r="B25" s="30"/>
      <c r="C25" s="58"/>
      <c r="D25" s="3" t="s">
        <v>45</v>
      </c>
      <c r="E25" s="40">
        <v>45</v>
      </c>
      <c r="F25" s="54">
        <f>E25*4.8/100</f>
        <v>2.16</v>
      </c>
      <c r="G25" s="56">
        <f>E25*1/100</f>
        <v>0.45</v>
      </c>
      <c r="H25" s="56">
        <f>E25*21.2/50</f>
        <v>19.079999999999998</v>
      </c>
      <c r="I25" s="56">
        <f>E25*100/50</f>
        <v>90</v>
      </c>
    </row>
    <row r="26" spans="1:9" ht="15.75" x14ac:dyDescent="0.25">
      <c r="A26" s="18"/>
      <c r="B26" s="30"/>
      <c r="C26" s="20"/>
      <c r="D26" s="30"/>
      <c r="E26" s="31"/>
      <c r="F26" s="32"/>
      <c r="G26" s="32"/>
      <c r="H26" s="51"/>
      <c r="I26" s="1"/>
    </row>
    <row r="27" spans="1:9" ht="15.75" x14ac:dyDescent="0.25">
      <c r="A27" s="18"/>
      <c r="B27" s="22"/>
      <c r="C27" s="22"/>
      <c r="D27" s="30"/>
      <c r="E27" s="30"/>
      <c r="F27" s="33"/>
      <c r="G27" s="33"/>
      <c r="H27" s="52"/>
      <c r="I27" s="1"/>
    </row>
    <row r="28" spans="1:9" ht="15.75" x14ac:dyDescent="0.25">
      <c r="A28" s="34"/>
      <c r="B28" s="30"/>
      <c r="C28" s="30"/>
      <c r="D28" s="30"/>
      <c r="E28" s="30"/>
      <c r="F28" s="30"/>
      <c r="G28" s="30"/>
      <c r="H28" s="34"/>
      <c r="I28" s="1"/>
    </row>
  </sheetData>
  <mergeCells count="4">
    <mergeCell ref="E3:F3"/>
    <mergeCell ref="E4:F4"/>
    <mergeCell ref="E5:F5"/>
    <mergeCell ref="B7:D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0"/>
  <sheetViews>
    <sheetView topLeftCell="A6" workbookViewId="0">
      <selection activeCell="O14" sqref="O14"/>
    </sheetView>
  </sheetViews>
  <sheetFormatPr defaultRowHeight="15" x14ac:dyDescent="0.25"/>
  <cols>
    <col min="3" max="3" width="7.42578125" customWidth="1"/>
    <col min="4" max="4" width="24.140625" customWidth="1"/>
  </cols>
  <sheetData>
    <row r="3" spans="1:9" ht="18.75" x14ac:dyDescent="0.3">
      <c r="A3" s="9"/>
      <c r="B3" s="9"/>
      <c r="C3" s="9"/>
      <c r="D3" s="9"/>
      <c r="E3" s="70"/>
      <c r="F3" s="70"/>
      <c r="G3" s="145" t="s">
        <v>20</v>
      </c>
      <c r="H3" s="145"/>
      <c r="I3" s="2"/>
    </row>
    <row r="4" spans="1:9" ht="15.75" x14ac:dyDescent="0.25">
      <c r="A4" s="9"/>
      <c r="B4" s="9"/>
      <c r="C4" s="9"/>
      <c r="D4" s="9"/>
      <c r="E4" s="70"/>
      <c r="F4" s="70"/>
      <c r="G4" s="139" t="s">
        <v>21</v>
      </c>
      <c r="H4" s="139"/>
      <c r="I4" s="2"/>
    </row>
    <row r="5" spans="1:9" ht="19.5" customHeight="1" x14ac:dyDescent="0.25">
      <c r="A5" s="9"/>
      <c r="B5" s="9"/>
      <c r="C5" s="9"/>
      <c r="D5" s="9"/>
      <c r="E5" s="140"/>
      <c r="F5" s="140"/>
      <c r="G5" s="140" t="s">
        <v>46</v>
      </c>
      <c r="H5" s="140"/>
    </row>
    <row r="6" spans="1:9" ht="15.75" x14ac:dyDescent="0.25">
      <c r="A6" s="30"/>
      <c r="B6" s="30"/>
      <c r="C6" s="30"/>
      <c r="D6" s="30"/>
      <c r="E6" s="30"/>
      <c r="F6" s="30"/>
      <c r="G6" s="30"/>
      <c r="H6" s="30"/>
      <c r="I6" s="1"/>
    </row>
    <row r="7" spans="1:9" ht="28.5" customHeight="1" x14ac:dyDescent="0.25">
      <c r="A7" s="72" t="s">
        <v>0</v>
      </c>
      <c r="B7" s="142" t="s">
        <v>16</v>
      </c>
      <c r="C7" s="143"/>
      <c r="D7" s="144"/>
      <c r="E7" s="69"/>
      <c r="F7" s="146" t="s">
        <v>47</v>
      </c>
      <c r="G7" s="147"/>
      <c r="H7" s="71">
        <v>4</v>
      </c>
      <c r="I7" s="71" t="s">
        <v>1</v>
      </c>
    </row>
    <row r="8" spans="1:9" ht="15.75" x14ac:dyDescent="0.25">
      <c r="A8" s="30"/>
      <c r="B8" s="19"/>
      <c r="C8" s="19"/>
      <c r="D8" s="19"/>
      <c r="E8" s="19"/>
      <c r="F8" s="19"/>
      <c r="G8" s="19"/>
      <c r="H8" s="19"/>
      <c r="I8" s="1"/>
    </row>
    <row r="9" spans="1:9" ht="31.5" x14ac:dyDescent="0.25">
      <c r="A9" s="64" t="s">
        <v>2</v>
      </c>
      <c r="B9" s="65" t="s">
        <v>3</v>
      </c>
      <c r="C9" s="65" t="s">
        <v>14</v>
      </c>
      <c r="D9" s="65" t="s">
        <v>4</v>
      </c>
      <c r="E9" s="73" t="s">
        <v>15</v>
      </c>
      <c r="F9" s="66" t="s">
        <v>23</v>
      </c>
      <c r="G9" s="66" t="s">
        <v>24</v>
      </c>
      <c r="H9" s="67" t="s">
        <v>25</v>
      </c>
      <c r="I9" s="68" t="s">
        <v>26</v>
      </c>
    </row>
    <row r="10" spans="1:9" ht="16.5" thickBot="1" x14ac:dyDescent="0.3">
      <c r="A10" s="23"/>
      <c r="B10" s="24"/>
      <c r="C10" s="25"/>
      <c r="D10" s="4"/>
      <c r="E10" s="5"/>
      <c r="F10" s="26"/>
      <c r="G10" s="26"/>
      <c r="H10" s="50"/>
      <c r="I10" s="1"/>
    </row>
    <row r="11" spans="1:9" ht="32.25" customHeight="1" x14ac:dyDescent="0.25">
      <c r="A11" s="27" t="s">
        <v>8</v>
      </c>
      <c r="B11" s="63" t="s">
        <v>9</v>
      </c>
      <c r="C11" s="59" t="s">
        <v>34</v>
      </c>
      <c r="D11" s="61" t="s">
        <v>48</v>
      </c>
      <c r="E11" s="40">
        <v>100</v>
      </c>
      <c r="F11" s="56">
        <f>E11*0.98/100</f>
        <v>0.98</v>
      </c>
      <c r="G11" s="56">
        <f>E11*5.13/100</f>
        <v>5.13</v>
      </c>
      <c r="H11" s="56">
        <f>E11*4.54/100</f>
        <v>4.54</v>
      </c>
      <c r="I11" s="56">
        <f>E11*65.81/100</f>
        <v>65.81</v>
      </c>
    </row>
    <row r="12" spans="1:9" ht="15.75" x14ac:dyDescent="0.25">
      <c r="A12" s="18"/>
      <c r="B12" s="45" t="s">
        <v>10</v>
      </c>
      <c r="C12" s="62" t="s">
        <v>36</v>
      </c>
      <c r="D12" s="4" t="s">
        <v>37</v>
      </c>
      <c r="E12" s="40">
        <v>300</v>
      </c>
      <c r="F12" s="54">
        <f>1.93*E12/250</f>
        <v>2.3159999999999998</v>
      </c>
      <c r="G12" s="54">
        <f>6.34*E12/250</f>
        <v>7.6079999999999997</v>
      </c>
      <c r="H12" s="54">
        <f>10.05*E12/250</f>
        <v>12.06</v>
      </c>
      <c r="I12" s="54">
        <f>104.16*E12/250</f>
        <v>124.992</v>
      </c>
    </row>
    <row r="13" spans="1:9" ht="31.5" x14ac:dyDescent="0.25">
      <c r="A13" s="18"/>
      <c r="B13" s="46" t="s">
        <v>12</v>
      </c>
      <c r="C13" s="62" t="s">
        <v>38</v>
      </c>
      <c r="D13" s="4" t="s">
        <v>49</v>
      </c>
      <c r="E13" s="40">
        <v>180</v>
      </c>
      <c r="F13" s="54">
        <f>E13*5.82/100</f>
        <v>10.476000000000001</v>
      </c>
      <c r="G13" s="56">
        <f>E13*3.62/100</f>
        <v>6.516</v>
      </c>
      <c r="H13" s="56">
        <f>E13*30/100</f>
        <v>54</v>
      </c>
      <c r="I13" s="56">
        <f>E13*175.87/100</f>
        <v>316.56600000000003</v>
      </c>
    </row>
    <row r="14" spans="1:9" ht="31.5" x14ac:dyDescent="0.25">
      <c r="A14" s="18"/>
      <c r="B14" s="46" t="s">
        <v>11</v>
      </c>
      <c r="C14" s="75" t="s">
        <v>40</v>
      </c>
      <c r="D14" s="4" t="s">
        <v>50</v>
      </c>
      <c r="E14" s="39">
        <v>100</v>
      </c>
      <c r="F14" s="54">
        <f>10.68*E14/100</f>
        <v>10.68</v>
      </c>
      <c r="G14" s="56">
        <f>9.97*E14/100</f>
        <v>9.9700000000000006</v>
      </c>
      <c r="H14" s="56">
        <f>5.33*E14/100</f>
        <v>5.33</v>
      </c>
      <c r="I14" s="56">
        <f>153.79*E14/100</f>
        <v>153.79</v>
      </c>
    </row>
    <row r="15" spans="1:9" ht="15.75" x14ac:dyDescent="0.25">
      <c r="A15" s="18"/>
      <c r="B15" s="47" t="s">
        <v>17</v>
      </c>
      <c r="C15" s="62" t="s">
        <v>42</v>
      </c>
      <c r="D15" s="4" t="s">
        <v>43</v>
      </c>
      <c r="E15" s="40">
        <v>200</v>
      </c>
      <c r="F15" s="40">
        <v>2</v>
      </c>
      <c r="G15" s="40">
        <v>0.2</v>
      </c>
      <c r="H15" s="40">
        <v>5.8</v>
      </c>
      <c r="I15" s="40">
        <v>36</v>
      </c>
    </row>
    <row r="16" spans="1:9" ht="15.75" x14ac:dyDescent="0.25">
      <c r="A16" s="18"/>
      <c r="B16" s="19"/>
      <c r="C16" s="58"/>
      <c r="D16" s="4" t="s">
        <v>44</v>
      </c>
      <c r="E16" s="40">
        <v>50</v>
      </c>
      <c r="F16" s="54">
        <f>E16*6.9/100</f>
        <v>3.45</v>
      </c>
      <c r="G16" s="56">
        <f>1*E16/100</f>
        <v>0.5</v>
      </c>
      <c r="H16" s="56">
        <f>E16*48.3/100</f>
        <v>24.15</v>
      </c>
      <c r="I16" s="56">
        <f>E16*235/100</f>
        <v>117.5</v>
      </c>
    </row>
    <row r="17" spans="1:9" ht="15.75" x14ac:dyDescent="0.25">
      <c r="A17" s="18"/>
      <c r="B17" s="30"/>
      <c r="C17" s="58"/>
      <c r="D17" s="4" t="s">
        <v>45</v>
      </c>
      <c r="E17" s="40">
        <v>70</v>
      </c>
      <c r="F17" s="54">
        <f>E17*4.8/100</f>
        <v>3.36</v>
      </c>
      <c r="G17" s="56">
        <f>E17*1/100</f>
        <v>0.7</v>
      </c>
      <c r="H17" s="56">
        <f>E17*21.2/50</f>
        <v>29.68</v>
      </c>
      <c r="I17" s="56">
        <f>E17*100/50</f>
        <v>140</v>
      </c>
    </row>
    <row r="18" spans="1:9" ht="15.75" x14ac:dyDescent="0.25">
      <c r="B18" s="30"/>
      <c r="C18" s="20"/>
      <c r="D18" s="30"/>
      <c r="E18" s="31"/>
      <c r="F18" s="32"/>
      <c r="G18" s="32"/>
      <c r="H18" s="51"/>
      <c r="I18" s="1"/>
    </row>
    <row r="19" spans="1:9" ht="15.75" x14ac:dyDescent="0.25">
      <c r="A19" s="18" t="s">
        <v>61</v>
      </c>
      <c r="B19" s="22"/>
      <c r="C19" s="62" t="s">
        <v>82</v>
      </c>
      <c r="D19" s="3" t="s">
        <v>32</v>
      </c>
      <c r="E19" s="40">
        <v>200</v>
      </c>
      <c r="F19" s="40">
        <v>5.59</v>
      </c>
      <c r="G19" s="40">
        <v>6.38</v>
      </c>
      <c r="H19" s="40">
        <v>9.3800000000000008</v>
      </c>
      <c r="I19" s="40">
        <v>117.31</v>
      </c>
    </row>
    <row r="20" spans="1:9" ht="15.75" x14ac:dyDescent="0.25">
      <c r="A20" s="34"/>
      <c r="B20" s="30"/>
      <c r="C20" s="62"/>
      <c r="D20" s="40" t="s">
        <v>33</v>
      </c>
      <c r="E20" s="40">
        <v>55</v>
      </c>
      <c r="F20" s="54">
        <f>E20*5.14/100</f>
        <v>2.827</v>
      </c>
      <c r="G20" s="54">
        <f>E20*30.44/100</f>
        <v>16.742000000000001</v>
      </c>
      <c r="H20" s="54">
        <f>E20*69.95/100</f>
        <v>38.472499999999997</v>
      </c>
      <c r="I20" s="54">
        <f>E20*527.3/100</f>
        <v>290.01499999999999</v>
      </c>
    </row>
  </sheetData>
  <mergeCells count="6">
    <mergeCell ref="B7:D7"/>
    <mergeCell ref="G3:H3"/>
    <mergeCell ref="G4:H4"/>
    <mergeCell ref="E5:F5"/>
    <mergeCell ref="G5:H5"/>
    <mergeCell ref="F7:G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9FAB-B4AF-443B-97D1-C5689C2B9989}">
  <dimension ref="A1:J28"/>
  <sheetViews>
    <sheetView workbookViewId="0">
      <selection activeCell="E30" sqref="E30"/>
    </sheetView>
  </sheetViews>
  <sheetFormatPr defaultRowHeight="15" x14ac:dyDescent="0.25"/>
  <cols>
    <col min="3" max="3" width="6.42578125" customWidth="1"/>
    <col min="4" max="4" width="31.7109375" customWidth="1"/>
    <col min="5" max="5" width="6.85546875" customWidth="1"/>
    <col min="6" max="6" width="7.28515625" customWidth="1"/>
    <col min="7" max="7" width="7" customWidth="1"/>
    <col min="8" max="8" width="7.5703125" customWidth="1"/>
  </cols>
  <sheetData>
    <row r="1" spans="1:10" x14ac:dyDescent="0.25">
      <c r="A1" s="151" t="s">
        <v>16</v>
      </c>
      <c r="B1" s="151"/>
      <c r="C1" s="151"/>
      <c r="D1" s="151"/>
      <c r="E1" s="151"/>
      <c r="F1" s="151"/>
      <c r="G1" s="151"/>
      <c r="H1" s="151"/>
      <c r="I1" s="151"/>
    </row>
    <row r="3" spans="1:10" ht="18.75" x14ac:dyDescent="0.3">
      <c r="A3" s="9"/>
      <c r="B3" s="9"/>
      <c r="C3" s="9"/>
      <c r="D3" s="9"/>
      <c r="G3" s="145" t="s">
        <v>20</v>
      </c>
      <c r="H3" s="145"/>
      <c r="I3" s="145"/>
    </row>
    <row r="4" spans="1:10" ht="15.75" x14ac:dyDescent="0.25">
      <c r="A4" s="9"/>
      <c r="B4" s="9"/>
      <c r="C4" s="9"/>
      <c r="D4" s="9"/>
      <c r="G4" s="139" t="s">
        <v>21</v>
      </c>
      <c r="H4" s="139"/>
      <c r="I4" s="139"/>
    </row>
    <row r="5" spans="1:10" ht="15.75" x14ac:dyDescent="0.25">
      <c r="A5" s="9"/>
      <c r="B5" s="9"/>
      <c r="C5" s="9"/>
      <c r="D5" s="9"/>
      <c r="G5" s="140" t="s">
        <v>22</v>
      </c>
      <c r="H5" s="140"/>
      <c r="I5" s="140"/>
    </row>
    <row r="6" spans="1:10" ht="15.75" x14ac:dyDescent="0.25">
      <c r="A6" s="9"/>
      <c r="B6" s="9"/>
      <c r="C6" s="9"/>
      <c r="D6" s="9"/>
      <c r="E6" s="74"/>
      <c r="F6" s="74"/>
    </row>
    <row r="7" spans="1:10" ht="15.75" x14ac:dyDescent="0.25">
      <c r="A7" s="148" t="s">
        <v>51</v>
      </c>
      <c r="B7" s="149"/>
      <c r="C7" s="149"/>
      <c r="D7" s="149"/>
      <c r="E7" s="74"/>
      <c r="F7" s="74"/>
      <c r="H7" s="152" t="s">
        <v>52</v>
      </c>
      <c r="I7" s="152"/>
    </row>
    <row r="8" spans="1:10" ht="15.75" x14ac:dyDescent="0.25">
      <c r="A8" s="9"/>
      <c r="B8" s="9"/>
      <c r="C8" s="9"/>
      <c r="D8" s="9"/>
      <c r="E8" s="9"/>
      <c r="F8" s="9"/>
      <c r="G8" s="9"/>
      <c r="H8" s="9"/>
    </row>
    <row r="9" spans="1:10" ht="15.75" x14ac:dyDescent="0.25">
      <c r="A9" s="148"/>
      <c r="B9" s="149"/>
      <c r="C9" s="149"/>
      <c r="D9" s="149"/>
      <c r="E9" s="150" t="s">
        <v>53</v>
      </c>
      <c r="F9" s="149"/>
      <c r="G9" s="149"/>
      <c r="H9" s="76">
        <v>4</v>
      </c>
      <c r="I9" t="s">
        <v>1</v>
      </c>
    </row>
    <row r="10" spans="1:10" ht="16.5" thickBot="1" x14ac:dyDescent="0.3">
      <c r="A10" s="9"/>
      <c r="B10" s="14"/>
      <c r="C10" s="14"/>
      <c r="D10" s="14"/>
      <c r="E10" s="14"/>
      <c r="F10" s="14"/>
      <c r="G10" s="14"/>
      <c r="H10" s="14"/>
    </row>
    <row r="11" spans="1:10" ht="32.25" thickBot="1" x14ac:dyDescent="0.3">
      <c r="A11" s="35" t="s">
        <v>2</v>
      </c>
      <c r="B11" s="36" t="s">
        <v>3</v>
      </c>
      <c r="C11" s="77" t="s">
        <v>14</v>
      </c>
      <c r="D11" s="36" t="s">
        <v>4</v>
      </c>
      <c r="E11" s="38" t="s">
        <v>15</v>
      </c>
      <c r="F11" s="37" t="s">
        <v>23</v>
      </c>
      <c r="G11" s="37" t="s">
        <v>24</v>
      </c>
      <c r="H11" s="48" t="s">
        <v>25</v>
      </c>
      <c r="I11" s="53" t="s">
        <v>54</v>
      </c>
    </row>
    <row r="12" spans="1:10" ht="30" x14ac:dyDescent="0.25">
      <c r="A12" s="78" t="s">
        <v>5</v>
      </c>
      <c r="B12" s="79" t="s">
        <v>6</v>
      </c>
      <c r="C12" s="80" t="s">
        <v>64</v>
      </c>
      <c r="D12" s="110" t="s">
        <v>62</v>
      </c>
      <c r="E12" s="102">
        <v>70</v>
      </c>
      <c r="F12" s="103">
        <f>E12*26.46/150</f>
        <v>12.348000000000001</v>
      </c>
      <c r="G12" s="103">
        <f>E12*18.32/150</f>
        <v>8.5493333333333332</v>
      </c>
      <c r="H12" s="103">
        <f>E12*23.6/150</f>
        <v>11.013333333333334</v>
      </c>
      <c r="I12" s="103">
        <f>E12*369.89/150</f>
        <v>172.61533333333333</v>
      </c>
      <c r="J12" s="113"/>
    </row>
    <row r="13" spans="1:10" ht="30" x14ac:dyDescent="0.25">
      <c r="A13" s="18"/>
      <c r="B13" s="84" t="s">
        <v>7</v>
      </c>
      <c r="C13" s="80" t="s">
        <v>65</v>
      </c>
      <c r="D13" s="110" t="s">
        <v>63</v>
      </c>
      <c r="E13" s="94">
        <v>150</v>
      </c>
      <c r="F13" s="103">
        <f>E13*2.61/200</f>
        <v>1.9575</v>
      </c>
      <c r="G13" s="103">
        <f>E13*0.45/200</f>
        <v>0.33750000000000002</v>
      </c>
      <c r="H13" s="103">
        <f>E13*25.95/200</f>
        <v>19.462499999999999</v>
      </c>
      <c r="I13" s="103">
        <f>E13*118.29/200</f>
        <v>88.717500000000001</v>
      </c>
      <c r="J13" s="113"/>
    </row>
    <row r="14" spans="1:10" ht="15.75" x14ac:dyDescent="0.25">
      <c r="A14" s="18"/>
      <c r="B14" s="85" t="s">
        <v>13</v>
      </c>
      <c r="C14" s="86" t="s">
        <v>58</v>
      </c>
      <c r="D14" s="110" t="s">
        <v>55</v>
      </c>
      <c r="E14" s="94">
        <v>20</v>
      </c>
      <c r="F14" s="103">
        <f>E14*7.6/100</f>
        <v>1.52</v>
      </c>
      <c r="G14" s="95">
        <f>E14*0.8/100</f>
        <v>0.16</v>
      </c>
      <c r="H14" s="95">
        <f>E14*49.2/100</f>
        <v>9.84</v>
      </c>
      <c r="I14" s="95">
        <f>E14*235/100</f>
        <v>47</v>
      </c>
      <c r="J14" s="102"/>
    </row>
    <row r="15" spans="1:10" ht="15.75" x14ac:dyDescent="0.25">
      <c r="A15" s="18"/>
      <c r="B15" s="88"/>
      <c r="C15" s="89"/>
      <c r="D15" s="3"/>
      <c r="E15" s="40"/>
      <c r="F15" s="56"/>
      <c r="G15" s="56"/>
      <c r="H15" s="56"/>
      <c r="I15" s="56"/>
    </row>
    <row r="16" spans="1:10" ht="15.75" x14ac:dyDescent="0.25">
      <c r="A16" s="90" t="s">
        <v>56</v>
      </c>
      <c r="B16" s="91"/>
      <c r="C16" s="92" t="s">
        <v>57</v>
      </c>
      <c r="D16" s="93" t="s">
        <v>66</v>
      </c>
      <c r="E16" s="94">
        <v>100</v>
      </c>
      <c r="F16" s="95">
        <f>E16*0.4/100</f>
        <v>0.4</v>
      </c>
      <c r="G16" s="95">
        <f>E16*0.3/100</f>
        <v>0.3</v>
      </c>
      <c r="H16" s="95">
        <f>E16*9.5/100</f>
        <v>9.5</v>
      </c>
      <c r="I16" s="95">
        <f>E16*42/100</f>
        <v>42</v>
      </c>
      <c r="J16" s="113"/>
    </row>
    <row r="17" spans="1:10" ht="16.5" thickBot="1" x14ac:dyDescent="0.3">
      <c r="A17" s="23"/>
      <c r="B17" s="24"/>
      <c r="C17" s="96"/>
      <c r="D17" s="44"/>
      <c r="E17" s="7"/>
      <c r="F17" s="26"/>
      <c r="G17" s="26"/>
      <c r="H17" s="50"/>
      <c r="I17" s="97"/>
    </row>
    <row r="18" spans="1:10" ht="30" x14ac:dyDescent="0.25">
      <c r="A18" s="98" t="s">
        <v>8</v>
      </c>
      <c r="B18" s="99" t="s">
        <v>9</v>
      </c>
      <c r="C18" s="100" t="s">
        <v>68</v>
      </c>
      <c r="D18" s="114" t="s">
        <v>67</v>
      </c>
      <c r="E18" s="81">
        <v>40</v>
      </c>
      <c r="F18" s="82">
        <f>E18*0.96/100</f>
        <v>0.38400000000000001</v>
      </c>
      <c r="G18" s="83">
        <f>E18*5.14/100</f>
        <v>2.056</v>
      </c>
      <c r="H18" s="83">
        <f>E18*3.08/100</f>
        <v>1.232</v>
      </c>
      <c r="I18" s="83">
        <f>E18*63.77/100</f>
        <v>25.508000000000003</v>
      </c>
      <c r="J18" s="113"/>
    </row>
    <row r="19" spans="1:10" ht="15.75" x14ac:dyDescent="0.25">
      <c r="A19" s="18"/>
      <c r="B19" s="45" t="s">
        <v>10</v>
      </c>
      <c r="C19" s="101" t="s">
        <v>70</v>
      </c>
      <c r="D19" s="93" t="s">
        <v>69</v>
      </c>
      <c r="E19" s="94">
        <v>150</v>
      </c>
      <c r="F19" s="103">
        <f>E19*8.71/1000</f>
        <v>1.3065000000000002</v>
      </c>
      <c r="G19" s="103">
        <f>E19*17.64/1000</f>
        <v>2.6459999999999999</v>
      </c>
      <c r="H19" s="103">
        <f>E19*48.36/1000</f>
        <v>7.2539999999999996</v>
      </c>
      <c r="I19" s="103">
        <f>E19*463.1/1000</f>
        <v>69.465000000000003</v>
      </c>
      <c r="J19" s="113"/>
    </row>
    <row r="20" spans="1:10" ht="15.75" x14ac:dyDescent="0.25">
      <c r="A20" s="18"/>
      <c r="B20" t="s">
        <v>73</v>
      </c>
      <c r="C20" s="101" t="s">
        <v>71</v>
      </c>
      <c r="D20" s="93" t="s">
        <v>49</v>
      </c>
      <c r="E20" s="94">
        <v>90</v>
      </c>
      <c r="F20" s="103">
        <f>E20*57.02/1000</f>
        <v>5.1318000000000001</v>
      </c>
      <c r="G20" s="103">
        <f>E20*52.3/1000</f>
        <v>4.7069999999999999</v>
      </c>
      <c r="H20" s="103">
        <f>E20*49.2/1000</f>
        <v>4.4279999999999999</v>
      </c>
      <c r="I20" s="103">
        <f>E20*1718.33/1000</f>
        <v>154.6497</v>
      </c>
      <c r="J20" s="113"/>
    </row>
    <row r="21" spans="1:10" ht="15.75" x14ac:dyDescent="0.25">
      <c r="A21" s="18"/>
      <c r="B21" s="46" t="s">
        <v>11</v>
      </c>
      <c r="C21" s="101" t="s">
        <v>72</v>
      </c>
      <c r="D21" s="93" t="s">
        <v>50</v>
      </c>
      <c r="E21" s="94">
        <v>50</v>
      </c>
      <c r="F21" s="103">
        <f>E21*13.28/100</f>
        <v>6.64</v>
      </c>
      <c r="G21" s="103">
        <f>E21*11.84/100</f>
        <v>5.92</v>
      </c>
      <c r="H21" s="103">
        <f>E21*6.66/100</f>
        <v>3.33</v>
      </c>
      <c r="I21" s="103">
        <f>E21*186.32/100</f>
        <v>93.16</v>
      </c>
      <c r="J21" s="113"/>
    </row>
    <row r="22" spans="1:10" ht="15.75" x14ac:dyDescent="0.25">
      <c r="A22" s="18"/>
      <c r="B22" s="47"/>
      <c r="C22" s="104" t="s">
        <v>75</v>
      </c>
      <c r="D22" s="110" t="s">
        <v>74</v>
      </c>
      <c r="E22" s="94">
        <v>150</v>
      </c>
      <c r="F22" s="95">
        <f>E22*0.5/100</f>
        <v>0.75</v>
      </c>
      <c r="G22" s="95">
        <f>E22*0.1/100</f>
        <v>0.15</v>
      </c>
      <c r="H22" s="95">
        <f>E22*10.1/100</f>
        <v>15.15</v>
      </c>
      <c r="I22" s="95">
        <f>E22*46/100</f>
        <v>69</v>
      </c>
      <c r="J22" s="113"/>
    </row>
    <row r="23" spans="1:10" ht="15.75" x14ac:dyDescent="0.25">
      <c r="A23" s="18"/>
      <c r="B23" s="19"/>
      <c r="C23" s="105" t="s">
        <v>58</v>
      </c>
      <c r="D23" s="110" t="s">
        <v>55</v>
      </c>
      <c r="E23" s="94">
        <v>10</v>
      </c>
      <c r="F23" s="103">
        <f>E23*7.6/100</f>
        <v>0.76</v>
      </c>
      <c r="G23" s="95">
        <f>E23*0.8/100</f>
        <v>0.08</v>
      </c>
      <c r="H23" s="95">
        <f>E23*49.2/100</f>
        <v>4.92</v>
      </c>
      <c r="I23" s="95">
        <f>E23*235/100</f>
        <v>23.5</v>
      </c>
      <c r="J23" s="102"/>
    </row>
    <row r="24" spans="1:10" ht="15.75" x14ac:dyDescent="0.25">
      <c r="A24" s="9"/>
      <c r="B24" s="30"/>
      <c r="C24" s="106" t="s">
        <v>59</v>
      </c>
      <c r="D24" s="107" t="s">
        <v>60</v>
      </c>
      <c r="E24" s="94">
        <v>30</v>
      </c>
      <c r="F24" s="103">
        <f>E24*6.6/100</f>
        <v>1.98</v>
      </c>
      <c r="G24" s="95">
        <f>E24*1.2/100</f>
        <v>0.36</v>
      </c>
      <c r="H24" s="95">
        <f>E24*33.4/100</f>
        <v>10.02</v>
      </c>
      <c r="I24" s="95">
        <f>E24*174/100</f>
        <v>52.2</v>
      </c>
      <c r="J24" s="113"/>
    </row>
    <row r="25" spans="1:10" ht="15.75" x14ac:dyDescent="0.25">
      <c r="A25" s="9"/>
      <c r="B25" s="30"/>
      <c r="C25" s="106"/>
      <c r="D25" s="107"/>
      <c r="E25" s="94"/>
      <c r="F25" s="103"/>
      <c r="G25" s="95"/>
      <c r="H25" s="95"/>
      <c r="I25" s="95"/>
    </row>
    <row r="26" spans="1:10" x14ac:dyDescent="0.25">
      <c r="A26" s="108" t="s">
        <v>61</v>
      </c>
      <c r="B26" s="109"/>
      <c r="C26" s="101" t="s">
        <v>79</v>
      </c>
      <c r="D26" s="110" t="s">
        <v>76</v>
      </c>
      <c r="E26" s="111">
        <v>70</v>
      </c>
      <c r="F26" s="112">
        <f>E26*1.26/100</f>
        <v>0.88200000000000001</v>
      </c>
      <c r="G26" s="112">
        <f>E26*10.2/100</f>
        <v>7.14</v>
      </c>
      <c r="H26" s="112">
        <f>E26*7.33/100</f>
        <v>5.1310000000000002</v>
      </c>
      <c r="I26" s="112">
        <f>E26*126.95/100</f>
        <v>88.864999999999995</v>
      </c>
      <c r="J26" s="113"/>
    </row>
    <row r="27" spans="1:10" x14ac:dyDescent="0.25">
      <c r="A27" s="1"/>
      <c r="B27" s="1"/>
      <c r="C27" s="101" t="s">
        <v>80</v>
      </c>
      <c r="D27" s="110" t="s">
        <v>77</v>
      </c>
      <c r="E27" s="94">
        <v>10</v>
      </c>
      <c r="F27" s="103">
        <f>E27*5.1/40</f>
        <v>1.2749999999999999</v>
      </c>
      <c r="G27" s="103">
        <f>E27*4.6/40</f>
        <v>1.1499999999999999</v>
      </c>
      <c r="H27" s="103">
        <f>E27*0.3/40</f>
        <v>7.4999999999999997E-2</v>
      </c>
      <c r="I27" s="103">
        <f>E27*63/40</f>
        <v>15.75</v>
      </c>
      <c r="J27" s="115"/>
    </row>
    <row r="28" spans="1:10" x14ac:dyDescent="0.25">
      <c r="C28" t="s">
        <v>81</v>
      </c>
      <c r="D28" s="110" t="s">
        <v>78</v>
      </c>
      <c r="E28" s="111">
        <v>120</v>
      </c>
      <c r="F28" s="112">
        <f>E28*10/200</f>
        <v>6</v>
      </c>
      <c r="G28" s="112">
        <f>E28*6.4/200</f>
        <v>3.84</v>
      </c>
      <c r="H28" s="112">
        <f>E28*17/200</f>
        <v>10.199999999999999</v>
      </c>
      <c r="I28" s="112">
        <f>E28*174/200</f>
        <v>104.4</v>
      </c>
      <c r="J28" s="113"/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C284-3C12-4071-B5B4-D889867F83B8}">
  <dimension ref="A1:I28"/>
  <sheetViews>
    <sheetView zoomScaleNormal="100" workbookViewId="0">
      <selection activeCell="N12" sqref="N12"/>
    </sheetView>
  </sheetViews>
  <sheetFormatPr defaultRowHeight="15" x14ac:dyDescent="0.25"/>
  <cols>
    <col min="3" max="3" width="5.85546875" customWidth="1"/>
    <col min="4" max="4" width="24.5703125" customWidth="1"/>
    <col min="5" max="5" width="6.5703125" customWidth="1"/>
    <col min="6" max="7" width="6.7109375" customWidth="1"/>
    <col min="8" max="8" width="6.140625" customWidth="1"/>
  </cols>
  <sheetData>
    <row r="1" spans="1:9" x14ac:dyDescent="0.25">
      <c r="A1" s="151" t="s">
        <v>16</v>
      </c>
      <c r="B1" s="151"/>
      <c r="C1" s="151"/>
      <c r="D1" s="151"/>
      <c r="E1" s="151"/>
      <c r="F1" s="151"/>
      <c r="G1" s="151"/>
      <c r="H1" s="151"/>
      <c r="I1" s="151"/>
    </row>
    <row r="3" spans="1:9" x14ac:dyDescent="0.25">
      <c r="A3" s="70"/>
      <c r="B3" s="70"/>
      <c r="C3" s="70"/>
      <c r="D3" s="70"/>
      <c r="G3" s="151" t="s">
        <v>20</v>
      </c>
      <c r="H3" s="151"/>
      <c r="I3" s="151"/>
    </row>
    <row r="4" spans="1:9" x14ac:dyDescent="0.25">
      <c r="A4" s="70"/>
      <c r="B4" s="70"/>
      <c r="C4" s="70"/>
      <c r="D4" s="70"/>
      <c r="G4" s="140" t="s">
        <v>21</v>
      </c>
      <c r="H4" s="140"/>
      <c r="I4" s="140"/>
    </row>
    <row r="5" spans="1:9" x14ac:dyDescent="0.25">
      <c r="A5" s="70"/>
      <c r="B5" s="70"/>
      <c r="C5" s="70"/>
      <c r="D5" s="70"/>
      <c r="G5" s="140" t="s">
        <v>22</v>
      </c>
      <c r="H5" s="140"/>
      <c r="I5" s="140"/>
    </row>
    <row r="6" spans="1:9" x14ac:dyDescent="0.25">
      <c r="A6" s="70"/>
      <c r="B6" s="70"/>
      <c r="C6" s="70"/>
      <c r="D6" s="70"/>
      <c r="E6" s="74"/>
      <c r="F6" s="74"/>
    </row>
    <row r="7" spans="1:9" x14ac:dyDescent="0.25">
      <c r="A7" s="153" t="s">
        <v>51</v>
      </c>
      <c r="B7" s="149"/>
      <c r="C7" s="149"/>
      <c r="D7" s="149"/>
      <c r="E7" s="74"/>
      <c r="F7" s="74"/>
      <c r="H7" s="152" t="s">
        <v>52</v>
      </c>
      <c r="I7" s="152"/>
    </row>
    <row r="8" spans="1:9" x14ac:dyDescent="0.25">
      <c r="A8" s="70"/>
      <c r="B8" s="70"/>
      <c r="C8" s="70"/>
      <c r="D8" s="70"/>
      <c r="E8" s="70"/>
      <c r="F8" s="70"/>
      <c r="G8" s="70"/>
      <c r="H8" s="70"/>
    </row>
    <row r="9" spans="1:9" x14ac:dyDescent="0.25">
      <c r="A9" s="153"/>
      <c r="B9" s="149"/>
      <c r="C9" s="149"/>
      <c r="D9" s="149"/>
      <c r="E9" s="154" t="s">
        <v>83</v>
      </c>
      <c r="F9" s="149"/>
      <c r="G9" s="149"/>
      <c r="H9" s="116">
        <v>4</v>
      </c>
      <c r="I9" t="s">
        <v>1</v>
      </c>
    </row>
    <row r="10" spans="1:9" ht="15.75" thickBot="1" x14ac:dyDescent="0.3">
      <c r="A10" s="70"/>
      <c r="B10" s="117"/>
      <c r="C10" s="117"/>
      <c r="D10" s="117"/>
      <c r="E10" s="117"/>
      <c r="F10" s="117"/>
      <c r="G10" s="117"/>
      <c r="H10" s="117"/>
    </row>
    <row r="11" spans="1:9" ht="29.25" thickBot="1" x14ac:dyDescent="0.3">
      <c r="A11" s="118" t="s">
        <v>2</v>
      </c>
      <c r="B11" s="37" t="s">
        <v>3</v>
      </c>
      <c r="C11" s="37" t="s">
        <v>14</v>
      </c>
      <c r="D11" s="37" t="s">
        <v>4</v>
      </c>
      <c r="E11" s="38" t="s">
        <v>15</v>
      </c>
      <c r="F11" s="37" t="s">
        <v>23</v>
      </c>
      <c r="G11" s="37" t="s">
        <v>24</v>
      </c>
      <c r="H11" s="48" t="s">
        <v>25</v>
      </c>
      <c r="I11" s="53" t="s">
        <v>54</v>
      </c>
    </row>
    <row r="12" spans="1:9" ht="30" x14ac:dyDescent="0.25">
      <c r="A12" s="119" t="s">
        <v>5</v>
      </c>
      <c r="B12" s="79" t="s">
        <v>6</v>
      </c>
      <c r="C12" s="120" t="s">
        <v>64</v>
      </c>
      <c r="D12" s="110" t="s">
        <v>62</v>
      </c>
      <c r="E12" s="102">
        <v>100</v>
      </c>
      <c r="F12" s="103">
        <f>E12*26.46/150</f>
        <v>17.64</v>
      </c>
      <c r="G12" s="103">
        <f>E12*18.32/150</f>
        <v>12.213333333333333</v>
      </c>
      <c r="H12" s="103">
        <f>E12*23.6/150</f>
        <v>15.733333333333333</v>
      </c>
      <c r="I12" s="103">
        <f>E12*369.89/150</f>
        <v>246.59333333333333</v>
      </c>
    </row>
    <row r="13" spans="1:9" ht="30" x14ac:dyDescent="0.25">
      <c r="A13" s="121"/>
      <c r="B13" s="84" t="s">
        <v>7</v>
      </c>
      <c r="C13" s="120" t="s">
        <v>65</v>
      </c>
      <c r="D13" s="110" t="s">
        <v>63</v>
      </c>
      <c r="E13" s="94">
        <v>180</v>
      </c>
      <c r="F13" s="103">
        <f>E13*2.61/200</f>
        <v>2.3489999999999998</v>
      </c>
      <c r="G13" s="103">
        <f>E13*0.45/200</f>
        <v>0.40500000000000003</v>
      </c>
      <c r="H13" s="103">
        <f>E13*25.95/200</f>
        <v>23.355</v>
      </c>
      <c r="I13" s="103">
        <f>E13*118.29/200</f>
        <v>106.461</v>
      </c>
    </row>
    <row r="14" spans="1:9" x14ac:dyDescent="0.25">
      <c r="A14" s="121"/>
      <c r="B14" s="85" t="s">
        <v>13</v>
      </c>
      <c r="C14" s="59" t="s">
        <v>58</v>
      </c>
      <c r="D14" s="110" t="s">
        <v>55</v>
      </c>
      <c r="E14" s="94">
        <v>25</v>
      </c>
      <c r="F14" s="103">
        <f>E14*7.6/100</f>
        <v>1.9</v>
      </c>
      <c r="G14" s="95">
        <f>E14*0.8/100</f>
        <v>0.2</v>
      </c>
      <c r="H14" s="95">
        <f>E14*49.2/100</f>
        <v>12.3</v>
      </c>
      <c r="I14" s="95">
        <f>E14*235/100</f>
        <v>58.75</v>
      </c>
    </row>
    <row r="15" spans="1:9" x14ac:dyDescent="0.25">
      <c r="A15" s="121"/>
      <c r="B15" s="88"/>
      <c r="C15" s="62"/>
      <c r="D15" s="93"/>
      <c r="E15" s="94"/>
      <c r="F15" s="95"/>
      <c r="G15" s="95"/>
      <c r="H15" s="95"/>
      <c r="I15" s="95"/>
    </row>
    <row r="16" spans="1:9" x14ac:dyDescent="0.25">
      <c r="A16" s="122" t="s">
        <v>56</v>
      </c>
      <c r="B16" s="123"/>
      <c r="C16" s="124" t="s">
        <v>57</v>
      </c>
      <c r="D16" s="93" t="s">
        <v>66</v>
      </c>
      <c r="E16" s="94">
        <v>100</v>
      </c>
      <c r="F16" s="95">
        <f>E16*0.4/100</f>
        <v>0.4</v>
      </c>
      <c r="G16" s="95">
        <f>E16*0.3/100</f>
        <v>0.3</v>
      </c>
      <c r="H16" s="95">
        <f>E16*9.5/100</f>
        <v>9.5</v>
      </c>
      <c r="I16" s="95">
        <f>E16*42/100</f>
        <v>42</v>
      </c>
    </row>
    <row r="17" spans="1:9" ht="15.75" thickBot="1" x14ac:dyDescent="0.3">
      <c r="A17" s="125"/>
      <c r="B17" s="126"/>
      <c r="C17" s="127"/>
      <c r="D17" s="128"/>
      <c r="E17" s="129"/>
      <c r="F17" s="130"/>
      <c r="G17" s="130"/>
      <c r="H17" s="131"/>
      <c r="I17" s="1"/>
    </row>
    <row r="18" spans="1:9" ht="29.25" customHeight="1" x14ac:dyDescent="0.25">
      <c r="A18" s="132" t="s">
        <v>8</v>
      </c>
      <c r="B18" s="133" t="s">
        <v>9</v>
      </c>
      <c r="C18" s="87" t="s">
        <v>68</v>
      </c>
      <c r="D18" s="114" t="s">
        <v>67</v>
      </c>
      <c r="E18" s="102">
        <v>60</v>
      </c>
      <c r="F18" s="103">
        <f>E18*0.96/100</f>
        <v>0.57599999999999996</v>
      </c>
      <c r="G18" s="95">
        <f>E18*5.14/100</f>
        <v>3.0839999999999996</v>
      </c>
      <c r="H18" s="95">
        <f>E18*3.08/100</f>
        <v>1.8480000000000001</v>
      </c>
      <c r="I18" s="95">
        <f>E18*63.77/100</f>
        <v>38.262</v>
      </c>
    </row>
    <row r="19" spans="1:9" x14ac:dyDescent="0.25">
      <c r="A19" s="121"/>
      <c r="B19" s="134" t="s">
        <v>10</v>
      </c>
      <c r="C19" s="134" t="s">
        <v>70</v>
      </c>
      <c r="D19" s="93" t="s">
        <v>69</v>
      </c>
      <c r="E19" s="94">
        <v>200</v>
      </c>
      <c r="F19" s="103">
        <f>E19*8.71/1000</f>
        <v>1.7420000000000002</v>
      </c>
      <c r="G19" s="103">
        <f>E19*17.64/1000</f>
        <v>3.528</v>
      </c>
      <c r="H19" s="103">
        <f>E19*48.36/1000</f>
        <v>9.6720000000000006</v>
      </c>
      <c r="I19" s="103">
        <f>E19*463.1/1000</f>
        <v>92.62</v>
      </c>
    </row>
    <row r="20" spans="1:9" x14ac:dyDescent="0.25">
      <c r="A20" s="121"/>
      <c r="B20" t="s">
        <v>73</v>
      </c>
      <c r="C20" s="134" t="s">
        <v>71</v>
      </c>
      <c r="D20" s="93" t="s">
        <v>49</v>
      </c>
      <c r="E20" s="94">
        <v>100</v>
      </c>
      <c r="F20" s="103">
        <f>E20*57.02/1000</f>
        <v>5.702</v>
      </c>
      <c r="G20" s="103">
        <f>E20*52.3/1000</f>
        <v>5.23</v>
      </c>
      <c r="H20" s="103">
        <f>E20*49.2/1000</f>
        <v>4.92</v>
      </c>
      <c r="I20" s="103">
        <f>E20*1718.33/1000</f>
        <v>171.833</v>
      </c>
    </row>
    <row r="21" spans="1:9" x14ac:dyDescent="0.25">
      <c r="A21" s="121"/>
      <c r="B21" s="135" t="s">
        <v>11</v>
      </c>
      <c r="C21" s="134" t="s">
        <v>72</v>
      </c>
      <c r="D21" s="93" t="s">
        <v>50</v>
      </c>
      <c r="E21" s="94">
        <v>80</v>
      </c>
      <c r="F21" s="103">
        <f>E21*13.28/100</f>
        <v>10.623999999999999</v>
      </c>
      <c r="G21" s="103">
        <f>E21*11.84/100</f>
        <v>9.4720000000000013</v>
      </c>
      <c r="H21" s="103">
        <f>E21*6.66/100</f>
        <v>5.3279999999999994</v>
      </c>
      <c r="I21" s="103">
        <f>E21*186.32/100</f>
        <v>149.05599999999998</v>
      </c>
    </row>
    <row r="22" spans="1:9" x14ac:dyDescent="0.25">
      <c r="A22" s="121"/>
      <c r="B22" s="136"/>
      <c r="C22" s="75" t="s">
        <v>75</v>
      </c>
      <c r="D22" s="110" t="s">
        <v>74</v>
      </c>
      <c r="E22" s="94">
        <v>180</v>
      </c>
      <c r="F22" s="95">
        <f>E22*0.5/100</f>
        <v>0.9</v>
      </c>
      <c r="G22" s="95">
        <f>E22*0.1/100</f>
        <v>0.18</v>
      </c>
      <c r="H22" s="95">
        <f>E22*10.1/100</f>
        <v>18.18</v>
      </c>
      <c r="I22" s="95">
        <f>E22*46/100</f>
        <v>82.8</v>
      </c>
    </row>
    <row r="23" spans="1:9" x14ac:dyDescent="0.25">
      <c r="A23" s="121"/>
      <c r="B23" s="85"/>
      <c r="C23" s="137" t="s">
        <v>58</v>
      </c>
      <c r="D23" s="110" t="s">
        <v>55</v>
      </c>
      <c r="E23" s="94">
        <v>20</v>
      </c>
      <c r="F23" s="103">
        <f>E23*7.6/100</f>
        <v>1.52</v>
      </c>
      <c r="G23" s="95">
        <f>E23*0.8/100</f>
        <v>0.16</v>
      </c>
      <c r="H23" s="95">
        <f>E23*49.2/100</f>
        <v>9.84</v>
      </c>
      <c r="I23" s="95">
        <f>E23*235/100</f>
        <v>47</v>
      </c>
    </row>
    <row r="24" spans="1:9" x14ac:dyDescent="0.25">
      <c r="A24" s="70"/>
      <c r="B24" s="137"/>
      <c r="C24" s="88" t="s">
        <v>59</v>
      </c>
      <c r="D24" s="107" t="s">
        <v>60</v>
      </c>
      <c r="E24" s="94">
        <v>35</v>
      </c>
      <c r="F24" s="103">
        <f>E24*6.6/100</f>
        <v>2.31</v>
      </c>
      <c r="G24" s="95">
        <f>E24*1.2/100</f>
        <v>0.42</v>
      </c>
      <c r="H24" s="95">
        <f>E24*33.4/100</f>
        <v>11.69</v>
      </c>
      <c r="I24" s="95">
        <f>E24*174/100</f>
        <v>60.9</v>
      </c>
    </row>
    <row r="25" spans="1:9" x14ac:dyDescent="0.25">
      <c r="A25" s="70"/>
      <c r="B25" s="137"/>
      <c r="C25" s="88"/>
      <c r="D25" s="107"/>
      <c r="E25" s="94"/>
      <c r="F25" s="103"/>
      <c r="G25" s="95"/>
      <c r="H25" s="95"/>
      <c r="I25" s="95"/>
    </row>
    <row r="26" spans="1:9" x14ac:dyDescent="0.25">
      <c r="A26" s="108" t="s">
        <v>61</v>
      </c>
      <c r="B26" s="109"/>
      <c r="C26" s="134" t="s">
        <v>79</v>
      </c>
      <c r="D26" s="110" t="s">
        <v>76</v>
      </c>
      <c r="E26" s="111">
        <v>100</v>
      </c>
      <c r="F26" s="112">
        <f>E26*1.26/100</f>
        <v>1.26</v>
      </c>
      <c r="G26" s="112">
        <f>E26*10.2/100</f>
        <v>10.199999999999999</v>
      </c>
      <c r="H26" s="112">
        <f>E26*7.33/100</f>
        <v>7.33</v>
      </c>
      <c r="I26" s="112">
        <f>E26*126.95/100</f>
        <v>126.95</v>
      </c>
    </row>
    <row r="27" spans="1:9" x14ac:dyDescent="0.25">
      <c r="A27" s="1"/>
      <c r="B27" s="1"/>
      <c r="C27" s="134" t="s">
        <v>80</v>
      </c>
      <c r="D27" s="110" t="s">
        <v>77</v>
      </c>
      <c r="E27" s="94">
        <v>20</v>
      </c>
      <c r="F27" s="103">
        <f>E27*5.1/40</f>
        <v>2.5499999999999998</v>
      </c>
      <c r="G27" s="103">
        <f>E27*4.6/40</f>
        <v>2.2999999999999998</v>
      </c>
      <c r="H27" s="103">
        <f>E27*0.3/40</f>
        <v>0.15</v>
      </c>
      <c r="I27" s="103">
        <f>E27*63/40</f>
        <v>31.5</v>
      </c>
    </row>
    <row r="28" spans="1:9" x14ac:dyDescent="0.25">
      <c r="C28" t="s">
        <v>81</v>
      </c>
      <c r="D28" s="110" t="s">
        <v>78</v>
      </c>
      <c r="E28" s="111">
        <v>140</v>
      </c>
      <c r="F28" s="112">
        <f>E28*10/200</f>
        <v>7</v>
      </c>
      <c r="G28" s="112">
        <f>E28*6.4/200</f>
        <v>4.4800000000000004</v>
      </c>
      <c r="H28" s="112">
        <f>E28*17/200</f>
        <v>11.9</v>
      </c>
      <c r="I28" s="112">
        <f>E28*174/200</f>
        <v>121.8</v>
      </c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Артиева</cp:lastModifiedBy>
  <cp:lastPrinted>2025-09-03T17:16:27Z</cp:lastPrinted>
  <dcterms:created xsi:type="dcterms:W3CDTF">2015-06-05T18:19:34Z</dcterms:created>
  <dcterms:modified xsi:type="dcterms:W3CDTF">2025-10-05T17:21:11Z</dcterms:modified>
</cp:coreProperties>
</file>