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26ED1EDE-AF22-4985-865B-5AF94F4D3F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7-11 лет" sheetId="1" r:id="rId1"/>
    <sheet name="12 и старше" sheetId="2" r:id="rId2"/>
    <sheet name="до 3-х лет" sheetId="3" r:id="rId3"/>
    <sheet name="3-7 лет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3" l="1"/>
  <c r="H18" i="3"/>
  <c r="G18" i="3"/>
  <c r="F18" i="3"/>
  <c r="I16" i="3"/>
  <c r="H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29" i="4"/>
  <c r="H29" i="4"/>
  <c r="F29" i="4"/>
  <c r="I28" i="4"/>
  <c r="H28" i="4"/>
  <c r="G28" i="4"/>
  <c r="F28" i="4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8" i="4"/>
  <c r="H18" i="4"/>
  <c r="G18" i="4"/>
  <c r="F18" i="4"/>
  <c r="I16" i="4"/>
  <c r="H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9" i="3"/>
  <c r="H29" i="3"/>
  <c r="F29" i="3"/>
  <c r="I28" i="3"/>
  <c r="H28" i="3"/>
  <c r="G28" i="3"/>
  <c r="F28" i="3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20" i="2" l="1"/>
  <c r="H20" i="2"/>
  <c r="G20" i="2"/>
  <c r="F20" i="2"/>
  <c r="I18" i="2"/>
  <c r="H18" i="2"/>
  <c r="G18" i="2"/>
  <c r="F18" i="2"/>
  <c r="I17" i="2"/>
  <c r="H17" i="2"/>
  <c r="G17" i="2"/>
  <c r="F17" i="2"/>
  <c r="I15" i="2"/>
  <c r="H15" i="2"/>
  <c r="G15" i="2"/>
  <c r="F15" i="2"/>
  <c r="I14" i="2"/>
  <c r="H14" i="2"/>
  <c r="G14" i="2"/>
  <c r="F14" i="2"/>
  <c r="I13" i="2"/>
  <c r="H13" i="2"/>
  <c r="G13" i="2"/>
  <c r="F13" i="2"/>
  <c r="I12" i="2"/>
  <c r="H12" i="2"/>
  <c r="G12" i="2"/>
  <c r="F12" i="2"/>
  <c r="I29" i="1"/>
  <c r="H29" i="1"/>
  <c r="G29" i="1"/>
  <c r="F29" i="1"/>
  <c r="I28" i="1"/>
  <c r="H28" i="1"/>
  <c r="G28" i="1"/>
  <c r="F28" i="1"/>
  <c r="I25" i="1"/>
  <c r="H25" i="1"/>
  <c r="G25" i="1"/>
  <c r="F25" i="1"/>
  <c r="I26" i="1"/>
  <c r="H26" i="1"/>
  <c r="G26" i="1"/>
  <c r="F26" i="1"/>
  <c r="I24" i="1"/>
  <c r="H24" i="1"/>
  <c r="G24" i="1"/>
  <c r="F24" i="1"/>
  <c r="I23" i="1"/>
  <c r="H23" i="1"/>
  <c r="G23" i="1"/>
  <c r="F23" i="1"/>
  <c r="I20" i="1"/>
  <c r="H20" i="1"/>
  <c r="G20" i="1"/>
  <c r="F20" i="1"/>
  <c r="I17" i="1"/>
  <c r="H17" i="1"/>
  <c r="G17" i="1"/>
  <c r="F17" i="1"/>
  <c r="I15" i="1"/>
  <c r="H15" i="1"/>
  <c r="G15" i="1"/>
  <c r="F15" i="1"/>
  <c r="I14" i="1"/>
  <c r="H14" i="1"/>
  <c r="G14" i="1"/>
  <c r="F14" i="1"/>
  <c r="I12" i="1"/>
  <c r="H12" i="1"/>
  <c r="G12" i="1"/>
  <c r="F12" i="1"/>
</calcChain>
</file>

<file path=xl/sharedStrings.xml><?xml version="1.0" encoding="utf-8"?>
<sst xmlns="http://schemas.openxmlformats.org/spreadsheetml/2006/main" count="209" uniqueCount="92">
  <si>
    <t>Школа</t>
  </si>
  <si>
    <t>День</t>
  </si>
  <si>
    <t>Прием пищи</t>
  </si>
  <si>
    <t>Раздел</t>
  </si>
  <si>
    <t>Блюдо</t>
  </si>
  <si>
    <t>Завтрак</t>
  </si>
  <si>
    <t>Обед</t>
  </si>
  <si>
    <t>закуска</t>
  </si>
  <si>
    <t>1 блюдо</t>
  </si>
  <si>
    <t>2 блюдо</t>
  </si>
  <si>
    <t>гарнир</t>
  </si>
  <si>
    <t>хлеб</t>
  </si>
  <si>
    <t>№ рец.</t>
  </si>
  <si>
    <t>Выход, г</t>
  </si>
  <si>
    <t>МБОУ "КСОШ им.Героя РФ С.В.Перца"</t>
  </si>
  <si>
    <t xml:space="preserve">компот 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</si>
  <si>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</si>
  <si>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</si>
  <si>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</si>
  <si>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</si>
  <si>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</si>
  <si>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</si>
  <si>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</si>
  <si>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</si>
  <si>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</si>
  <si>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12 лет и старше</t>
  </si>
  <si>
    <t>№115</t>
  </si>
  <si>
    <t>Каша ячневая молочная вязкая</t>
  </si>
  <si>
    <t>№54-3гн</t>
  </si>
  <si>
    <t>чай с лимоном с сахаром</t>
  </si>
  <si>
    <t>№365</t>
  </si>
  <si>
    <t>масло сливочное</t>
  </si>
  <si>
    <t>хлеб пшеничный</t>
  </si>
  <si>
    <t>№ 139</t>
  </si>
  <si>
    <t xml:space="preserve">яйцо вареное </t>
  </si>
  <si>
    <t>№ 89</t>
  </si>
  <si>
    <t>Яблоко</t>
  </si>
  <si>
    <t>№ 308</t>
  </si>
  <si>
    <t>булочка "Нежная"</t>
  </si>
  <si>
    <t>№ 293</t>
  </si>
  <si>
    <t>сок фруктовый</t>
  </si>
  <si>
    <t>№ 4</t>
  </si>
  <si>
    <t>Салат из белокочанной капусты с морковью</t>
  </si>
  <si>
    <t>№ 63</t>
  </si>
  <si>
    <t>№ 161</t>
  </si>
  <si>
    <t>№ 224</t>
  </si>
  <si>
    <t>№54-2хн</t>
  </si>
  <si>
    <t>хлеб пшеничн.</t>
  </si>
  <si>
    <t>хлеб ржаной</t>
  </si>
  <si>
    <t>Щи из св. капусты с картофелем</t>
  </si>
  <si>
    <t xml:space="preserve">Рис отварной </t>
  </si>
  <si>
    <t>Биточек рыбный</t>
  </si>
  <si>
    <t>Компот из кураги</t>
  </si>
  <si>
    <t>Гарнир</t>
  </si>
  <si>
    <t>гор. блюдо</t>
  </si>
  <si>
    <t>гор. напиток</t>
  </si>
  <si>
    <t>Полдник</t>
  </si>
  <si>
    <t>Дошкольное отделение</t>
  </si>
  <si>
    <t>Понедельник</t>
  </si>
  <si>
    <t>до 3 лет</t>
  </si>
  <si>
    <t>гор.блюдо</t>
  </si>
  <si>
    <t>гор.напиток</t>
  </si>
  <si>
    <t>№ 119</t>
  </si>
  <si>
    <t>Масло сливочное</t>
  </si>
  <si>
    <t>№ 122</t>
  </si>
  <si>
    <t>Хлеб пшеничный</t>
  </si>
  <si>
    <t>II завтрак:</t>
  </si>
  <si>
    <t>№122</t>
  </si>
  <si>
    <t>Хлеб ржаной</t>
  </si>
  <si>
    <t>Каша ячневая вязкая</t>
  </si>
  <si>
    <t>Чай с лимоном</t>
  </si>
  <si>
    <t>Яйца вареные</t>
  </si>
  <si>
    <t>№ 270</t>
  </si>
  <si>
    <t>№ 506</t>
  </si>
  <si>
    <t>№ 310</t>
  </si>
  <si>
    <t>Сок фруктовый</t>
  </si>
  <si>
    <t>№532</t>
  </si>
  <si>
    <t>№3</t>
  </si>
  <si>
    <t>Щи из св.капусты с картофелем</t>
  </si>
  <si>
    <t>Каша рисовая рассыпчатая</t>
  </si>
  <si>
    <t>Котлеты или биточки рыбные</t>
  </si>
  <si>
    <t>№156</t>
  </si>
  <si>
    <t>№255</t>
  </si>
  <si>
    <t>№356</t>
  </si>
  <si>
    <t>Компот из  плодов или ягод сушеных (курага)</t>
  </si>
  <si>
    <t>№526</t>
  </si>
  <si>
    <t>№123</t>
  </si>
  <si>
    <t>Блинчики с маслом</t>
  </si>
  <si>
    <t xml:space="preserve">Напиток из шиповника </t>
  </si>
  <si>
    <t>№542</t>
  </si>
  <si>
    <t>№533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</si>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</sst>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9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2" borderId="6" xfId="0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2" borderId="4" xfId="0" applyFont="1" applyFill="1" applyBorder="1"/>
    <xf numFmtId="0" fontId="5" fillId="0" borderId="1" xfId="0" applyFont="1" applyBorder="1"/>
    <xf numFmtId="1" fontId="5" fillId="2" borderId="12" xfId="0" applyNumberFormat="1" applyFont="1" applyFill="1" applyBorder="1" applyProtection="1"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wrapText="1"/>
    </xf>
    <xf numFmtId="0" fontId="5" fillId="2" borderId="16" xfId="0" applyFont="1" applyFill="1" applyBorder="1" applyProtection="1">
      <protection locked="0"/>
    </xf>
    <xf numFmtId="0" fontId="1" fillId="2" borderId="3" xfId="0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top" wrapText="1"/>
    </xf>
    <xf numFmtId="0" fontId="7" fillId="0" borderId="1" xfId="1" applyFont="1" applyBorder="1" applyAlignment="1">
      <alignment horizontal="left"/>
    </xf>
    <xf numFmtId="0" fontId="1" fillId="0" borderId="3" xfId="1" applyFont="1" applyBorder="1"/>
    <xf numFmtId="0" fontId="7" fillId="0" borderId="1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3" xfId="0" applyFont="1" applyBorder="1" applyAlignment="1">
      <alignment vertical="center"/>
    </xf>
    <xf numFmtId="0" fontId="4" fillId="0" borderId="2" xfId="0" applyFont="1" applyBorder="1"/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/>
    <xf numFmtId="0" fontId="10" fillId="0" borderId="0" xfId="0" applyFont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6" fillId="0" borderId="5" xfId="0" applyFont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0" fontId="7" fillId="2" borderId="3" xfId="0" applyFont="1" applyFill="1" applyBorder="1" applyAlignment="1">
      <alignment wrapText="1"/>
    </xf>
    <xf numFmtId="2" fontId="7" fillId="0" borderId="1" xfId="0" applyNumberFormat="1" applyFont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7" fillId="0" borderId="3" xfId="0" applyFont="1" applyBorder="1" applyAlignment="1">
      <alignment wrapText="1"/>
    </xf>
    <xf numFmtId="0" fontId="3" fillId="2" borderId="1" xfId="0" applyFont="1" applyFill="1" applyBorder="1" applyProtection="1">
      <protection locked="0"/>
    </xf>
    <xf numFmtId="2" fontId="7" fillId="0" borderId="1" xfId="0" applyNumberFormat="1" applyFont="1" applyBorder="1" applyAlignment="1">
      <alignment horizontal="right"/>
    </xf>
    <xf numFmtId="0" fontId="3" fillId="2" borderId="12" xfId="0" applyFont="1" applyFill="1" applyBorder="1" applyProtection="1">
      <protection locked="0"/>
    </xf>
    <xf numFmtId="0" fontId="7" fillId="0" borderId="3" xfId="0" applyFont="1" applyBorder="1"/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4" fillId="2" borderId="9" xfId="0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6" fillId="0" borderId="7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2" borderId="1" xfId="0" applyFont="1" applyFill="1" applyBorder="1"/>
    <xf numFmtId="2" fontId="7" fillId="2" borderId="1" xfId="0" applyNumberFormat="1" applyFont="1" applyFill="1" applyBorder="1"/>
    <xf numFmtId="0" fontId="7" fillId="2" borderId="3" xfId="0" applyFont="1" applyFill="1" applyBorder="1"/>
    <xf numFmtId="2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6" fillId="2" borderId="4" xfId="0" applyFont="1" applyFill="1" applyBorder="1" applyAlignment="1">
      <alignment horizontal="left" vertical="center"/>
    </xf>
    <xf numFmtId="0" fontId="11" fillId="2" borderId="3" xfId="1" applyFont="1" applyFill="1" applyBorder="1"/>
    <xf numFmtId="0" fontId="11" fillId="2" borderId="1" xfId="1" applyFont="1" applyFill="1" applyBorder="1" applyAlignment="1">
      <alignment horizontal="right" vertical="top" wrapText="1"/>
    </xf>
    <xf numFmtId="2" fontId="11" fillId="2" borderId="1" xfId="1" applyNumberFormat="1" applyFont="1" applyFill="1" applyBorder="1" applyAlignment="1">
      <alignment horizontal="right" vertical="top" wrapText="1"/>
    </xf>
    <xf numFmtId="0" fontId="11" fillId="2" borderId="3" xfId="0" applyFont="1" applyFill="1" applyBorder="1"/>
    <xf numFmtId="0" fontId="11" fillId="2" borderId="1" xfId="0" applyFont="1" applyFill="1" applyBorder="1"/>
    <xf numFmtId="2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top" wrapText="1"/>
    </xf>
    <xf numFmtId="2" fontId="11" fillId="2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7" fillId="2" borderId="3" xfId="1" applyFont="1" applyFill="1" applyBorder="1"/>
    <xf numFmtId="0" fontId="14" fillId="0" borderId="1" xfId="0" applyFont="1" applyBorder="1" applyAlignment="1"/>
    <xf numFmtId="0" fontId="14" fillId="2" borderId="1" xfId="0" applyFont="1" applyFill="1" applyBorder="1" applyAlignment="1" applyProtection="1">
      <protection locked="0"/>
    </xf>
    <xf numFmtId="0" fontId="17" fillId="2" borderId="1" xfId="0" applyFont="1" applyFill="1" applyBorder="1"/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31"/>
  <sheetViews>
    <sheetView zoomScaleNormal="100" workbookViewId="0">
      <selection activeCell="K19" sqref="K19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73" t="s">
        <v>18</v>
      </c>
      <c r="H3" s="73"/>
      <c r="I3" s="73"/>
    </row>
    <row r="4" spans="1:9" ht="15.75" x14ac:dyDescent="0.25">
      <c r="A4" s="4"/>
      <c r="B4" s="4"/>
      <c r="C4" s="4"/>
      <c r="D4" s="4"/>
      <c r="G4" s="74" t="s">
        <v>19</v>
      </c>
      <c r="H4" s="74"/>
      <c r="I4" s="74"/>
    </row>
    <row r="5" spans="1:9" ht="15.75" x14ac:dyDescent="0.25">
      <c r="A5" s="4"/>
      <c r="B5" s="4"/>
      <c r="C5" s="4"/>
      <c r="D5" s="4"/>
      <c r="G5" s="75" t="s">
        <v>20</v>
      </c>
      <c r="H5" s="75"/>
      <c r="I5" s="75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4"/>
      <c r="B7" s="4"/>
      <c r="C7" s="4"/>
      <c r="D7" s="4"/>
      <c r="E7" s="39"/>
      <c r="F7" s="39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72" t="s">
        <v>14</v>
      </c>
      <c r="C9" s="72"/>
      <c r="D9" s="72"/>
      <c r="E9" s="7" t="s">
        <v>16</v>
      </c>
      <c r="F9" s="7">
        <v>2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12</v>
      </c>
      <c r="D11" s="24" t="s">
        <v>4</v>
      </c>
      <c r="E11" s="26" t="s">
        <v>13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31.5" x14ac:dyDescent="0.25">
      <c r="A12" s="10" t="s">
        <v>5</v>
      </c>
      <c r="B12" s="40" t="s">
        <v>54</v>
      </c>
      <c r="C12" s="46" t="s">
        <v>26</v>
      </c>
      <c r="D12" s="45" t="s">
        <v>27</v>
      </c>
      <c r="E12" s="50">
        <v>205</v>
      </c>
      <c r="F12" s="51">
        <f>E12*7.23/205</f>
        <v>7.23</v>
      </c>
      <c r="G12" s="52">
        <f>E12*6.67/205</f>
        <v>6.67</v>
      </c>
      <c r="H12" s="52">
        <f>E12*39.54/205</f>
        <v>39.54</v>
      </c>
      <c r="I12" s="52">
        <f>E12*246.87/205</f>
        <v>246.87</v>
      </c>
    </row>
    <row r="13" spans="1:9" ht="31.5" x14ac:dyDescent="0.25">
      <c r="A13" s="12"/>
      <c r="B13" s="42" t="s">
        <v>55</v>
      </c>
      <c r="C13" s="46" t="s">
        <v>28</v>
      </c>
      <c r="D13" s="70" t="s">
        <v>29</v>
      </c>
      <c r="E13" s="53">
        <v>200</v>
      </c>
      <c r="F13" s="54">
        <v>0.3</v>
      </c>
      <c r="G13" s="54">
        <v>0</v>
      </c>
      <c r="H13" s="54">
        <v>6.7</v>
      </c>
      <c r="I13" s="54">
        <v>27.9</v>
      </c>
    </row>
    <row r="14" spans="1:9" ht="15.75" x14ac:dyDescent="0.25">
      <c r="A14" s="12"/>
      <c r="C14" s="46" t="s">
        <v>30</v>
      </c>
      <c r="D14" s="2" t="s">
        <v>31</v>
      </c>
      <c r="E14" s="28">
        <v>10</v>
      </c>
      <c r="F14" s="37">
        <f>E14*0.1/10</f>
        <v>0.1</v>
      </c>
      <c r="G14" s="37">
        <f>E14*7.2/10</f>
        <v>7.2</v>
      </c>
      <c r="H14" s="37">
        <f>E14*0.1/10</f>
        <v>0.1</v>
      </c>
      <c r="I14" s="37">
        <f>E14*66/10</f>
        <v>66</v>
      </c>
    </row>
    <row r="15" spans="1:9" ht="15.75" x14ac:dyDescent="0.25">
      <c r="A15" s="12"/>
      <c r="B15" s="13" t="s">
        <v>11</v>
      </c>
      <c r="C15" s="46"/>
      <c r="D15" s="2" t="s">
        <v>32</v>
      </c>
      <c r="E15" s="28">
        <v>40</v>
      </c>
      <c r="F15" s="37">
        <f>E15*6.9/100</f>
        <v>2.76</v>
      </c>
      <c r="G15" s="38">
        <f>1*E15/100</f>
        <v>0.4</v>
      </c>
      <c r="H15" s="38">
        <f>E15*48.3/100</f>
        <v>19.32</v>
      </c>
      <c r="I15" s="38">
        <f>E15*235/100</f>
        <v>94</v>
      </c>
    </row>
    <row r="16" spans="1:9" ht="16.5" thickBot="1" x14ac:dyDescent="0.3">
      <c r="A16" s="15"/>
      <c r="B16" s="16"/>
      <c r="C16" s="46" t="s">
        <v>33</v>
      </c>
      <c r="D16" s="2" t="s">
        <v>34</v>
      </c>
      <c r="E16" s="27">
        <v>40</v>
      </c>
      <c r="F16" s="37">
        <v>5.08</v>
      </c>
      <c r="G16" s="37">
        <v>4.5999999999999996</v>
      </c>
      <c r="H16" s="37">
        <v>0.28000000000000003</v>
      </c>
      <c r="I16" s="37">
        <v>62.8</v>
      </c>
    </row>
    <row r="17" spans="1:9" ht="15.75" x14ac:dyDescent="0.25">
      <c r="A17" s="12"/>
      <c r="B17" s="44"/>
      <c r="C17" s="46" t="s">
        <v>35</v>
      </c>
      <c r="D17" s="2" t="s">
        <v>36</v>
      </c>
      <c r="E17" s="28">
        <v>200</v>
      </c>
      <c r="F17" s="38">
        <f>0.4*E17/100</f>
        <v>0.8</v>
      </c>
      <c r="G17" s="38">
        <f>E17*0.4/100</f>
        <v>0.8</v>
      </c>
      <c r="H17" s="38">
        <f>E17*10.4/100</f>
        <v>20.8</v>
      </c>
      <c r="I17" s="38">
        <f>E17*45/100</f>
        <v>90</v>
      </c>
    </row>
    <row r="18" spans="1:9" ht="15.75" x14ac:dyDescent="0.25">
      <c r="A18" s="12"/>
      <c r="B18" s="44"/>
      <c r="C18" s="55"/>
      <c r="D18" s="2"/>
      <c r="E18" s="28"/>
      <c r="F18" s="38"/>
      <c r="G18" s="38"/>
      <c r="H18" s="38"/>
      <c r="I18" s="38"/>
    </row>
    <row r="19" spans="1:9" ht="16.5" thickBot="1" x14ac:dyDescent="0.3">
      <c r="A19" s="12"/>
      <c r="B19" s="44"/>
      <c r="C19" s="55"/>
      <c r="D19" s="2"/>
      <c r="E19" s="28"/>
      <c r="F19" s="38"/>
      <c r="G19" s="38"/>
      <c r="H19" s="38"/>
      <c r="I19" s="38"/>
    </row>
    <row r="20" spans="1:9" ht="15.75" x14ac:dyDescent="0.25">
      <c r="A20" s="10" t="s">
        <v>17</v>
      </c>
      <c r="B20" s="11"/>
      <c r="C20" s="46" t="s">
        <v>37</v>
      </c>
      <c r="D20" s="2" t="s">
        <v>38</v>
      </c>
      <c r="E20" s="28">
        <v>49</v>
      </c>
      <c r="F20" s="37">
        <f>4.96*E20/60</f>
        <v>4.0506666666666664</v>
      </c>
      <c r="G20" s="37">
        <f>7.12*E20/60</f>
        <v>5.8146666666666667</v>
      </c>
      <c r="H20" s="37">
        <f>36.14*E20/60</f>
        <v>29.514333333333337</v>
      </c>
      <c r="I20" s="37">
        <f>387.6*E20/60</f>
        <v>316.54000000000002</v>
      </c>
    </row>
    <row r="21" spans="1:9" ht="15.75" x14ac:dyDescent="0.25">
      <c r="A21" s="18"/>
      <c r="B21" s="19"/>
      <c r="C21" s="46" t="s">
        <v>39</v>
      </c>
      <c r="D21" s="2" t="s">
        <v>40</v>
      </c>
      <c r="E21" s="28">
        <v>200</v>
      </c>
      <c r="F21" s="28">
        <v>2</v>
      </c>
      <c r="G21" s="28">
        <v>0.2</v>
      </c>
      <c r="H21" s="28">
        <v>5.8</v>
      </c>
      <c r="I21" s="28">
        <v>36</v>
      </c>
    </row>
    <row r="22" spans="1:9" ht="16.5" thickBot="1" x14ac:dyDescent="0.3">
      <c r="A22" s="15"/>
      <c r="B22" s="16"/>
      <c r="C22" s="41"/>
      <c r="D22" s="29"/>
      <c r="E22" s="3"/>
      <c r="F22" s="17"/>
      <c r="G22" s="17"/>
      <c r="H22" s="34"/>
      <c r="I22" s="1"/>
    </row>
    <row r="23" spans="1:9" ht="31.5" x14ac:dyDescent="0.25">
      <c r="A23" s="18" t="s">
        <v>6</v>
      </c>
      <c r="B23" s="48" t="s">
        <v>7</v>
      </c>
      <c r="C23" s="47" t="s">
        <v>41</v>
      </c>
      <c r="D23" s="56" t="s">
        <v>42</v>
      </c>
      <c r="E23" s="49">
        <v>100</v>
      </c>
      <c r="F23" s="57">
        <f>E23*0.84/100</f>
        <v>0.84</v>
      </c>
      <c r="G23" s="58">
        <f>E23*5.06/100</f>
        <v>5.0599999999999996</v>
      </c>
      <c r="H23" s="58">
        <f>E23*5.32/100</f>
        <v>5.32</v>
      </c>
      <c r="I23" s="58">
        <f>E23*70.02/100</f>
        <v>70.02</v>
      </c>
    </row>
    <row r="24" spans="1:9" ht="31.5" x14ac:dyDescent="0.25">
      <c r="A24" s="12"/>
      <c r="B24" s="30" t="s">
        <v>8</v>
      </c>
      <c r="C24" s="61" t="s">
        <v>43</v>
      </c>
      <c r="D24" s="43" t="s">
        <v>49</v>
      </c>
      <c r="E24" s="27">
        <v>200</v>
      </c>
      <c r="F24" s="37">
        <f>E24*2.09/250</f>
        <v>1.6719999999999999</v>
      </c>
      <c r="G24" s="38">
        <f>E24*6.33/250</f>
        <v>5.0640000000000001</v>
      </c>
      <c r="H24" s="38">
        <f>E24*10.64/250</f>
        <v>8.5120000000000005</v>
      </c>
      <c r="I24" s="38">
        <f>E24*107.83/250</f>
        <v>86.263999999999996</v>
      </c>
    </row>
    <row r="25" spans="1:9" ht="15.75" x14ac:dyDescent="0.25">
      <c r="A25" s="12"/>
      <c r="B25" s="31" t="s">
        <v>9</v>
      </c>
      <c r="C25" s="61" t="s">
        <v>45</v>
      </c>
      <c r="D25" s="62" t="s">
        <v>50</v>
      </c>
      <c r="E25" s="63">
        <v>160</v>
      </c>
      <c r="F25" s="64">
        <f>E25*2.59/100</f>
        <v>4.1440000000000001</v>
      </c>
      <c r="G25" s="64">
        <f>E25*3.39/100</f>
        <v>5.4239999999999995</v>
      </c>
      <c r="H25" s="64">
        <f>E25*26.85/100</f>
        <v>42.96</v>
      </c>
      <c r="I25" s="64">
        <f>E25*150.12/100</f>
        <v>240.19200000000001</v>
      </c>
    </row>
    <row r="26" spans="1:9" ht="15.75" x14ac:dyDescent="0.25">
      <c r="A26" s="12"/>
      <c r="B26" s="31" t="s">
        <v>10</v>
      </c>
      <c r="C26" s="60" t="s">
        <v>44</v>
      </c>
      <c r="D26" s="2" t="s">
        <v>51</v>
      </c>
      <c r="E26" s="27">
        <v>120</v>
      </c>
      <c r="F26" s="28">
        <f>9.9*E26/100</f>
        <v>11.88</v>
      </c>
      <c r="G26" s="28">
        <f>6.7*E26/100</f>
        <v>8.0399999999999991</v>
      </c>
      <c r="H26" s="28">
        <f>E26*6.4/100</f>
        <v>7.68</v>
      </c>
      <c r="I26" s="28">
        <f>130.9*E26/100</f>
        <v>157.08000000000001</v>
      </c>
    </row>
    <row r="27" spans="1:9" ht="15.75" x14ac:dyDescent="0.25">
      <c r="A27" s="12"/>
      <c r="B27" s="32" t="s">
        <v>15</v>
      </c>
      <c r="C27" s="46" t="s">
        <v>46</v>
      </c>
      <c r="D27" s="65" t="s">
        <v>52</v>
      </c>
      <c r="E27" s="28">
        <v>200</v>
      </c>
      <c r="F27" s="28">
        <v>1</v>
      </c>
      <c r="G27" s="28">
        <v>0.1</v>
      </c>
      <c r="H27" s="28">
        <v>15.7</v>
      </c>
      <c r="I27" s="28">
        <v>66.900000000000006</v>
      </c>
    </row>
    <row r="28" spans="1:9" ht="15.75" x14ac:dyDescent="0.25">
      <c r="A28" s="12"/>
      <c r="B28" s="13"/>
      <c r="C28" s="66"/>
      <c r="D28" s="67" t="s">
        <v>47</v>
      </c>
      <c r="E28" s="28">
        <v>40</v>
      </c>
      <c r="F28" s="37">
        <f>E28*6.9/100</f>
        <v>2.76</v>
      </c>
      <c r="G28" s="38">
        <f>1*E28/100</f>
        <v>0.4</v>
      </c>
      <c r="H28" s="38">
        <f>E28*48.3/100</f>
        <v>19.32</v>
      </c>
      <c r="I28" s="38">
        <f>E28*235/100</f>
        <v>94</v>
      </c>
    </row>
    <row r="29" spans="1:9" ht="15.75" x14ac:dyDescent="0.25">
      <c r="A29" s="12"/>
      <c r="B29" s="20"/>
      <c r="C29" s="68"/>
      <c r="D29" s="67" t="s">
        <v>48</v>
      </c>
      <c r="E29" s="28">
        <v>51</v>
      </c>
      <c r="F29" s="37">
        <f>E29*4.8/100</f>
        <v>2.448</v>
      </c>
      <c r="G29" s="38">
        <f>E29*1/100</f>
        <v>0.51</v>
      </c>
      <c r="H29" s="38">
        <f>E29*21.2/50</f>
        <v>21.624000000000002</v>
      </c>
      <c r="I29" s="38">
        <f>E29*100/50</f>
        <v>102</v>
      </c>
    </row>
    <row r="30" spans="1:9" ht="15.75" x14ac:dyDescent="0.25">
      <c r="A30" s="12"/>
      <c r="B30" s="14"/>
      <c r="C30" s="14"/>
      <c r="D30" s="20"/>
      <c r="E30" s="20"/>
      <c r="F30" s="21"/>
      <c r="G30" s="21"/>
      <c r="H30" s="35"/>
      <c r="I30" s="1"/>
    </row>
    <row r="31" spans="1:9" ht="15.75" x14ac:dyDescent="0.25">
      <c r="A31" s="22"/>
      <c r="B31" s="20"/>
      <c r="C31" s="20"/>
      <c r="D31" s="20"/>
      <c r="E31" s="20"/>
      <c r="F31" s="20"/>
      <c r="G31" s="20"/>
      <c r="H31" s="22"/>
      <c r="I31" s="1"/>
    </row>
  </sheetData>
  <mergeCells count="4">
    <mergeCell ref="B9:D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1"/>
  <sheetViews>
    <sheetView tabSelected="1" topLeftCell="A4" workbookViewId="0">
      <selection activeCell="D25" sqref="D25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4"/>
      <c r="B3" s="4"/>
      <c r="C3" s="4"/>
      <c r="D3" s="4"/>
      <c r="G3" s="73" t="s">
        <v>18</v>
      </c>
      <c r="H3" s="73"/>
      <c r="I3" s="73"/>
    </row>
    <row r="4" spans="1:9" ht="15.75" x14ac:dyDescent="0.25">
      <c r="A4" s="4"/>
      <c r="B4" s="4"/>
      <c r="C4" s="4"/>
      <c r="D4" s="4"/>
      <c r="G4" s="74" t="s">
        <v>19</v>
      </c>
      <c r="H4" s="74"/>
      <c r="I4" s="74"/>
    </row>
    <row r="5" spans="1:9" ht="19.5" customHeight="1" x14ac:dyDescent="0.25">
      <c r="A5" s="4"/>
      <c r="B5" s="4"/>
      <c r="C5" s="4"/>
      <c r="D5" s="4"/>
      <c r="G5" s="75" t="s">
        <v>20</v>
      </c>
      <c r="H5" s="75"/>
      <c r="I5" s="75"/>
    </row>
    <row r="6" spans="1:9" ht="15.75" x14ac:dyDescent="0.25">
      <c r="A6" s="4"/>
      <c r="B6" s="4"/>
      <c r="C6" s="4"/>
      <c r="D6" s="4"/>
      <c r="E6" s="39"/>
      <c r="F6" s="39"/>
    </row>
    <row r="7" spans="1:9" ht="28.5" customHeight="1" x14ac:dyDescent="0.25">
      <c r="A7" s="4"/>
      <c r="B7" s="4"/>
      <c r="C7" s="4"/>
      <c r="D7" s="4"/>
      <c r="E7" s="39"/>
      <c r="F7" s="39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72" t="s">
        <v>14</v>
      </c>
      <c r="C9" s="72"/>
      <c r="D9" s="72"/>
      <c r="E9" s="76" t="s">
        <v>25</v>
      </c>
      <c r="F9" s="76"/>
      <c r="G9" s="69">
        <v>2</v>
      </c>
      <c r="H9" s="7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23" t="s">
        <v>2</v>
      </c>
      <c r="B11" s="24" t="s">
        <v>3</v>
      </c>
      <c r="C11" s="24" t="s">
        <v>12</v>
      </c>
      <c r="D11" s="24" t="s">
        <v>4</v>
      </c>
      <c r="E11" s="26" t="s">
        <v>13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38.25" customHeight="1" x14ac:dyDescent="0.25">
      <c r="A12" s="18" t="s">
        <v>6</v>
      </c>
      <c r="B12" s="48" t="s">
        <v>7</v>
      </c>
      <c r="C12" s="47" t="s">
        <v>41</v>
      </c>
      <c r="D12" s="56" t="s">
        <v>42</v>
      </c>
      <c r="E12" s="49">
        <v>100</v>
      </c>
      <c r="F12" s="57">
        <f>E12*0.84/100</f>
        <v>0.84</v>
      </c>
      <c r="G12" s="58">
        <f>E12*5.06/100</f>
        <v>5.0599999999999996</v>
      </c>
      <c r="H12" s="58">
        <f>E12*5.32/100</f>
        <v>5.32</v>
      </c>
      <c r="I12" s="58">
        <f>E12*70.02/100</f>
        <v>70.02</v>
      </c>
    </row>
    <row r="13" spans="1:9" ht="31.5" x14ac:dyDescent="0.25">
      <c r="A13" s="12"/>
      <c r="B13" s="30" t="s">
        <v>8</v>
      </c>
      <c r="C13" s="59" t="s">
        <v>43</v>
      </c>
      <c r="D13" s="43" t="s">
        <v>49</v>
      </c>
      <c r="E13" s="27">
        <v>250</v>
      </c>
      <c r="F13" s="37">
        <f>E13*2.09/250</f>
        <v>2.09</v>
      </c>
      <c r="G13" s="38">
        <f>E13*6.33/250</f>
        <v>6.33</v>
      </c>
      <c r="H13" s="38">
        <f>E13*10.64/250</f>
        <v>10.64</v>
      </c>
      <c r="I13" s="38">
        <f>E13*107.83/250</f>
        <v>107.83</v>
      </c>
    </row>
    <row r="14" spans="1:9" ht="15.75" x14ac:dyDescent="0.25">
      <c r="A14" s="12"/>
      <c r="B14" s="31" t="s">
        <v>9</v>
      </c>
      <c r="C14" s="60" t="s">
        <v>44</v>
      </c>
      <c r="D14" s="2" t="s">
        <v>51</v>
      </c>
      <c r="E14" s="27">
        <v>120</v>
      </c>
      <c r="F14" s="28">
        <f>9.9*E14/100</f>
        <v>11.88</v>
      </c>
      <c r="G14" s="28">
        <f>6.7*E14/100</f>
        <v>8.0399999999999991</v>
      </c>
      <c r="H14" s="28">
        <f>E14*6.4/100</f>
        <v>7.68</v>
      </c>
      <c r="I14" s="28">
        <f>130.9*E14/100</f>
        <v>157.08000000000001</v>
      </c>
    </row>
    <row r="15" spans="1:9" ht="15.75" x14ac:dyDescent="0.25">
      <c r="A15" s="12"/>
      <c r="B15" s="1" t="s">
        <v>53</v>
      </c>
      <c r="C15" s="61" t="s">
        <v>45</v>
      </c>
      <c r="D15" s="62" t="s">
        <v>50</v>
      </c>
      <c r="E15" s="63">
        <v>180</v>
      </c>
      <c r="F15" s="64">
        <f>E15*2.59/100</f>
        <v>4.6619999999999999</v>
      </c>
      <c r="G15" s="64">
        <f>E15*3.39/100</f>
        <v>6.1020000000000003</v>
      </c>
      <c r="H15" s="64">
        <f>E15*26.85/100</f>
        <v>48.33</v>
      </c>
      <c r="I15" s="64">
        <f>E15*150.12/100</f>
        <v>270.21600000000001</v>
      </c>
    </row>
    <row r="16" spans="1:9" ht="15.75" x14ac:dyDescent="0.25">
      <c r="A16" s="12"/>
      <c r="B16" s="32" t="s">
        <v>15</v>
      </c>
      <c r="C16" s="46" t="s">
        <v>46</v>
      </c>
      <c r="D16" s="65" t="s">
        <v>52</v>
      </c>
      <c r="E16" s="28">
        <v>200</v>
      </c>
      <c r="F16" s="28">
        <v>1</v>
      </c>
      <c r="G16" s="28">
        <v>0.1</v>
      </c>
      <c r="H16" s="28">
        <v>15.7</v>
      </c>
      <c r="I16" s="28">
        <v>66.900000000000006</v>
      </c>
    </row>
    <row r="17" spans="1:9" ht="15.75" x14ac:dyDescent="0.25">
      <c r="A17" s="12"/>
      <c r="B17" s="13"/>
      <c r="C17" s="66"/>
      <c r="D17" s="67" t="s">
        <v>47</v>
      </c>
      <c r="E17" s="28">
        <v>50</v>
      </c>
      <c r="F17" s="37">
        <f>E17*6.9/100</f>
        <v>3.45</v>
      </c>
      <c r="G17" s="38">
        <f>1*E17/100</f>
        <v>0.5</v>
      </c>
      <c r="H17" s="38">
        <f>E17*48.3/100</f>
        <v>24.15</v>
      </c>
      <c r="I17" s="38">
        <f>E17*235/100</f>
        <v>117.5</v>
      </c>
    </row>
    <row r="18" spans="1:9" ht="15.75" x14ac:dyDescent="0.25">
      <c r="A18" s="12"/>
      <c r="B18" s="20"/>
      <c r="C18" s="68"/>
      <c r="D18" s="67" t="s">
        <v>48</v>
      </c>
      <c r="E18" s="28">
        <v>70</v>
      </c>
      <c r="F18" s="37">
        <f>E18*4.8/100</f>
        <v>3.36</v>
      </c>
      <c r="G18" s="38">
        <f>E18*1/100</f>
        <v>0.7</v>
      </c>
      <c r="H18" s="38">
        <f>E18*21.2/50</f>
        <v>29.68</v>
      </c>
      <c r="I18" s="38">
        <f>E18*100/50</f>
        <v>140</v>
      </c>
    </row>
    <row r="19" spans="1:9" ht="15.75" x14ac:dyDescent="0.25">
      <c r="A19" s="12"/>
      <c r="B19" s="14"/>
      <c r="C19" s="14"/>
      <c r="D19" s="20"/>
      <c r="E19" s="20"/>
      <c r="F19" s="21"/>
      <c r="G19" s="21"/>
      <c r="H19" s="35"/>
      <c r="I19" s="1"/>
    </row>
    <row r="20" spans="1:9" ht="15.75" x14ac:dyDescent="0.25">
      <c r="A20" s="71" t="s">
        <v>56</v>
      </c>
      <c r="B20" s="20"/>
      <c r="C20" s="46" t="s">
        <v>37</v>
      </c>
      <c r="D20" s="2" t="s">
        <v>38</v>
      </c>
      <c r="E20" s="28">
        <v>60</v>
      </c>
      <c r="F20" s="37">
        <f>4.96*E20/60</f>
        <v>4.96</v>
      </c>
      <c r="G20" s="37">
        <f>7.12*E20/60</f>
        <v>7.12</v>
      </c>
      <c r="H20" s="37">
        <f>36.14*E20/60</f>
        <v>36.14</v>
      </c>
      <c r="I20" s="37">
        <f>387.6*E20/60</f>
        <v>387.6</v>
      </c>
    </row>
    <row r="21" spans="1:9" ht="15.75" x14ac:dyDescent="0.25">
      <c r="A21" s="1"/>
      <c r="B21" s="1"/>
      <c r="C21" s="46" t="s">
        <v>39</v>
      </c>
      <c r="D21" s="2" t="s">
        <v>40</v>
      </c>
      <c r="E21" s="28">
        <v>200</v>
      </c>
      <c r="F21" s="28">
        <v>2</v>
      </c>
      <c r="G21" s="28">
        <v>0.2</v>
      </c>
      <c r="H21" s="28">
        <v>5.8</v>
      </c>
      <c r="I21" s="28">
        <v>36</v>
      </c>
    </row>
  </sheetData>
  <mergeCells count="5">
    <mergeCell ref="B9:D9"/>
    <mergeCell ref="G3:I3"/>
    <mergeCell ref="G4:I4"/>
    <mergeCell ref="G5:I5"/>
    <mergeCell ref="E9:F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7560-9A7C-49A6-9726-C406FDD50459}">
  <dimension ref="A1:J29"/>
  <sheetViews>
    <sheetView workbookViewId="0">
      <selection activeCell="E30" sqref="E30"/>
    </sheetView>
  </sheetViews>
  <sheetFormatPr defaultRowHeight="15" x14ac:dyDescent="0.25"/>
  <cols>
    <col min="3" max="3" width="6" customWidth="1"/>
    <col min="4" max="4" width="20.42578125" customWidth="1"/>
    <col min="5" max="5" width="5.42578125" customWidth="1"/>
    <col min="6" max="6" width="5.85546875" customWidth="1"/>
    <col min="7" max="7" width="6" customWidth="1"/>
    <col min="8" max="8" width="5.42578125" customWidth="1"/>
    <col min="9" max="9" width="7.42578125" customWidth="1"/>
  </cols>
  <sheetData>
    <row r="1" spans="1:10" x14ac:dyDescent="0.25">
      <c r="A1" s="77" t="s">
        <v>14</v>
      </c>
      <c r="B1" s="77"/>
      <c r="C1" s="77"/>
      <c r="D1" s="77"/>
      <c r="E1" s="77"/>
      <c r="F1" s="77"/>
      <c r="G1" s="77"/>
      <c r="H1" s="77"/>
      <c r="I1" s="77"/>
    </row>
    <row r="3" spans="1:10" ht="18.75" x14ac:dyDescent="0.3">
      <c r="A3" s="4"/>
      <c r="B3" s="4"/>
      <c r="C3" s="4"/>
      <c r="D3" s="4"/>
      <c r="G3" s="73" t="s">
        <v>18</v>
      </c>
      <c r="H3" s="73"/>
      <c r="I3" s="73"/>
    </row>
    <row r="4" spans="1:10" ht="15.75" x14ac:dyDescent="0.25">
      <c r="A4" s="4"/>
      <c r="B4" s="4"/>
      <c r="C4" s="4"/>
      <c r="D4" s="4"/>
      <c r="G4" s="74" t="s">
        <v>19</v>
      </c>
      <c r="H4" s="74"/>
      <c r="I4" s="74"/>
    </row>
    <row r="5" spans="1:10" ht="15.75" x14ac:dyDescent="0.25">
      <c r="A5" s="4"/>
      <c r="B5" s="4"/>
      <c r="C5" s="4"/>
      <c r="D5" s="4"/>
      <c r="G5" s="75" t="s">
        <v>20</v>
      </c>
      <c r="H5" s="75"/>
      <c r="I5" s="75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78" t="s">
        <v>57</v>
      </c>
      <c r="B7" s="79"/>
      <c r="C7" s="79"/>
      <c r="D7" s="79"/>
      <c r="E7" s="39"/>
      <c r="F7" s="39"/>
      <c r="H7" s="80" t="s">
        <v>58</v>
      </c>
      <c r="I7" s="80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78"/>
      <c r="B9" s="79"/>
      <c r="C9" s="79"/>
      <c r="D9" s="79"/>
      <c r="E9" s="76" t="s">
        <v>59</v>
      </c>
      <c r="F9" s="79"/>
      <c r="G9" s="79"/>
      <c r="H9" s="81">
        <v>2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116" t="s">
        <v>12</v>
      </c>
      <c r="D11" s="24" t="s">
        <v>4</v>
      </c>
      <c r="E11" s="26" t="s">
        <v>13</v>
      </c>
      <c r="F11" s="25" t="s">
        <v>21</v>
      </c>
      <c r="G11" s="25" t="s">
        <v>22</v>
      </c>
      <c r="H11" s="33" t="s">
        <v>23</v>
      </c>
      <c r="I11" s="36" t="s">
        <v>24</v>
      </c>
      <c r="J11" s="1"/>
    </row>
    <row r="12" spans="1:10" ht="30" x14ac:dyDescent="0.25">
      <c r="A12" s="82" t="s">
        <v>5</v>
      </c>
      <c r="B12" s="83" t="s">
        <v>60</v>
      </c>
      <c r="C12" s="114" t="s">
        <v>72</v>
      </c>
      <c r="D12" s="109" t="s">
        <v>69</v>
      </c>
      <c r="E12" s="133">
        <v>150</v>
      </c>
      <c r="F12" s="134">
        <f>E12*26.03/1000</f>
        <v>3.9045000000000001</v>
      </c>
      <c r="G12" s="135">
        <f>E12*52.35/1000</f>
        <v>7.8525</v>
      </c>
      <c r="H12" s="135">
        <f>E12*191.36/1000</f>
        <v>28.704000000000004</v>
      </c>
      <c r="I12" s="135">
        <f>E12*1356.3/1000</f>
        <v>203.44499999999999</v>
      </c>
      <c r="J12" s="1"/>
    </row>
    <row r="13" spans="1:10" ht="30" x14ac:dyDescent="0.25">
      <c r="A13" s="12"/>
      <c r="B13" s="87" t="s">
        <v>61</v>
      </c>
      <c r="C13" s="114" t="s">
        <v>73</v>
      </c>
      <c r="D13" s="109" t="s">
        <v>70</v>
      </c>
      <c r="E13" s="136">
        <v>150</v>
      </c>
      <c r="F13" s="137">
        <f>E13*0.06/200</f>
        <v>4.4999999999999998E-2</v>
      </c>
      <c r="G13" s="137">
        <f>E13*0.01/200</f>
        <v>7.4999999999999997E-3</v>
      </c>
      <c r="H13" s="137">
        <f>E13*15.25/200</f>
        <v>11.4375</v>
      </c>
      <c r="I13" s="137">
        <f>E13*62.5/200</f>
        <v>46.875</v>
      </c>
      <c r="J13" s="1"/>
    </row>
    <row r="14" spans="1:10" ht="15.75" x14ac:dyDescent="0.25">
      <c r="A14" s="12"/>
      <c r="B14" s="88" t="s">
        <v>11</v>
      </c>
      <c r="C14" s="115" t="s">
        <v>62</v>
      </c>
      <c r="D14" s="109" t="s">
        <v>63</v>
      </c>
      <c r="E14" s="102">
        <v>2</v>
      </c>
      <c r="F14" s="138">
        <f>E14*0.5/100</f>
        <v>0.01</v>
      </c>
      <c r="G14" s="138">
        <f>E14*82.5/100</f>
        <v>1.65</v>
      </c>
      <c r="H14" s="138">
        <f>E14*0.8/100</f>
        <v>1.6E-2</v>
      </c>
      <c r="I14" s="138">
        <f>E14*748/100</f>
        <v>14.96</v>
      </c>
      <c r="J14" s="1"/>
    </row>
    <row r="15" spans="1:10" ht="15.75" x14ac:dyDescent="0.25">
      <c r="A15" s="12"/>
      <c r="B15" s="90"/>
      <c r="C15" s="115" t="s">
        <v>74</v>
      </c>
      <c r="D15" s="109" t="s">
        <v>71</v>
      </c>
      <c r="E15" s="102">
        <v>5</v>
      </c>
      <c r="F15" s="138">
        <f>E15*5.1/40</f>
        <v>0.63749999999999996</v>
      </c>
      <c r="G15" s="138">
        <f>E15*4.6/40</f>
        <v>0.57499999999999996</v>
      </c>
      <c r="H15" s="138">
        <f>E15*0.3/40</f>
        <v>3.7499999999999999E-2</v>
      </c>
      <c r="I15" s="138">
        <f>E15*63/40</f>
        <v>7.875</v>
      </c>
      <c r="J15" s="1"/>
    </row>
    <row r="16" spans="1:10" ht="16.5" thickBot="1" x14ac:dyDescent="0.3">
      <c r="A16" s="15"/>
      <c r="B16" s="92"/>
      <c r="C16" s="115" t="s">
        <v>64</v>
      </c>
      <c r="D16" s="109" t="s">
        <v>65</v>
      </c>
      <c r="E16" s="102">
        <v>15</v>
      </c>
      <c r="F16" s="138">
        <f>E16*7.6/100</f>
        <v>1.1399999999999999</v>
      </c>
      <c r="G16" s="103">
        <f>E16*0.8/100</f>
        <v>0.12</v>
      </c>
      <c r="H16" s="103">
        <f>E16*49.2/100</f>
        <v>7.38</v>
      </c>
      <c r="I16" s="103">
        <f>E16*235/100</f>
        <v>35.25</v>
      </c>
      <c r="J16" s="1"/>
    </row>
    <row r="17" spans="1:10" ht="15.75" x14ac:dyDescent="0.25">
      <c r="A17" s="12"/>
      <c r="B17" s="90"/>
      <c r="C17" s="94"/>
      <c r="D17" s="2"/>
      <c r="E17" s="28"/>
      <c r="F17" s="38"/>
      <c r="G17" s="38"/>
      <c r="H17" s="38"/>
      <c r="I17" s="38"/>
      <c r="J17" s="1"/>
    </row>
    <row r="18" spans="1:10" ht="15.75" x14ac:dyDescent="0.25">
      <c r="A18" s="95" t="s">
        <v>66</v>
      </c>
      <c r="B18" s="96"/>
      <c r="C18" s="97" t="s">
        <v>76</v>
      </c>
      <c r="D18" s="109" t="s">
        <v>75</v>
      </c>
      <c r="E18" s="60">
        <v>90</v>
      </c>
      <c r="F18" s="91">
        <f>E18*0.5/100</f>
        <v>0.45</v>
      </c>
      <c r="G18" s="91">
        <f>E18*0.1/100</f>
        <v>0.09</v>
      </c>
      <c r="H18" s="91">
        <f>E18*10.1/100</f>
        <v>9.09</v>
      </c>
      <c r="I18" s="91">
        <f>E18*46/100</f>
        <v>41.4</v>
      </c>
      <c r="J18" s="1"/>
    </row>
    <row r="19" spans="1:10" ht="16.5" thickBot="1" x14ac:dyDescent="0.3">
      <c r="A19" s="15"/>
      <c r="B19" s="16"/>
      <c r="C19" s="98"/>
      <c r="D19" s="29"/>
      <c r="E19" s="3"/>
      <c r="F19" s="17"/>
      <c r="G19" s="17"/>
      <c r="H19" s="34"/>
      <c r="I19" s="99"/>
      <c r="J19" s="1"/>
    </row>
    <row r="20" spans="1:10" ht="45" x14ac:dyDescent="0.25">
      <c r="A20" s="100" t="s">
        <v>6</v>
      </c>
      <c r="B20" s="118" t="s">
        <v>7</v>
      </c>
      <c r="C20" s="127" t="s">
        <v>77</v>
      </c>
      <c r="D20" s="85" t="s">
        <v>42</v>
      </c>
      <c r="E20" s="107">
        <v>40</v>
      </c>
      <c r="F20" s="108">
        <f>E20*1.64/100</f>
        <v>0.65599999999999992</v>
      </c>
      <c r="G20" s="110">
        <f>E20*10.1/100</f>
        <v>4.04</v>
      </c>
      <c r="H20" s="110">
        <f>E20*9.63/100</f>
        <v>3.8520000000000003</v>
      </c>
      <c r="I20" s="110">
        <f>E20*136.87/100</f>
        <v>54.748000000000005</v>
      </c>
      <c r="J20" s="117"/>
    </row>
    <row r="21" spans="1:10" ht="15.75" x14ac:dyDescent="0.25">
      <c r="A21" s="12"/>
      <c r="B21" s="30" t="s">
        <v>8</v>
      </c>
      <c r="C21" s="128" t="s">
        <v>81</v>
      </c>
      <c r="D21" s="119" t="s">
        <v>78</v>
      </c>
      <c r="E21" s="120">
        <v>150</v>
      </c>
      <c r="F21" s="121">
        <f>E21*6.33/1000</f>
        <v>0.94950000000000001</v>
      </c>
      <c r="G21" s="121">
        <f>E21*17.56/1000</f>
        <v>2.6339999999999999</v>
      </c>
      <c r="H21" s="121">
        <f>E21*25.95/1000</f>
        <v>3.8925000000000001</v>
      </c>
      <c r="I21" s="121">
        <f>E21*335.97/1000</f>
        <v>50.395500000000006</v>
      </c>
      <c r="J21" s="113"/>
    </row>
    <row r="22" spans="1:10" ht="15.75" x14ac:dyDescent="0.25">
      <c r="A22" s="12"/>
      <c r="B22" s="104" t="s">
        <v>53</v>
      </c>
      <c r="C22" s="128" t="s">
        <v>82</v>
      </c>
      <c r="D22" s="122" t="s">
        <v>79</v>
      </c>
      <c r="E22" s="123">
        <v>100</v>
      </c>
      <c r="F22" s="124">
        <f>E22*24.771/1000</f>
        <v>2.4771000000000001</v>
      </c>
      <c r="G22" s="124">
        <f>E22*40.7/1000</f>
        <v>4.07</v>
      </c>
      <c r="H22" s="124">
        <f>E22*248.66/1000</f>
        <v>24.866</v>
      </c>
      <c r="I22" s="124">
        <f>E22*1494.9/1000</f>
        <v>149.49</v>
      </c>
      <c r="J22" s="113"/>
    </row>
    <row r="23" spans="1:10" ht="15.75" x14ac:dyDescent="0.25">
      <c r="A23" s="12"/>
      <c r="B23" s="31" t="s">
        <v>9</v>
      </c>
      <c r="C23" s="128" t="s">
        <v>83</v>
      </c>
      <c r="D23" s="122" t="s">
        <v>80</v>
      </c>
      <c r="E23" s="125">
        <v>60</v>
      </c>
      <c r="F23" s="126">
        <f>E23*14.49/100</f>
        <v>8.6939999999999991</v>
      </c>
      <c r="G23" s="126">
        <f>E23*2.36/100</f>
        <v>1.4159999999999999</v>
      </c>
      <c r="H23" s="126">
        <f>E23*5.72/100</f>
        <v>3.4319999999999999</v>
      </c>
      <c r="I23" s="126">
        <f>E23*102.2/100</f>
        <v>61.32</v>
      </c>
      <c r="J23" s="113"/>
    </row>
    <row r="24" spans="1:10" ht="45" x14ac:dyDescent="0.25">
      <c r="A24" s="12"/>
      <c r="B24" s="32"/>
      <c r="C24" s="101" t="s">
        <v>85</v>
      </c>
      <c r="D24" s="89" t="s">
        <v>84</v>
      </c>
      <c r="E24" s="60">
        <v>150</v>
      </c>
      <c r="F24" s="86">
        <f>E24*0.33/200</f>
        <v>0.2475</v>
      </c>
      <c r="G24" s="86">
        <f>E24*0.2/200</f>
        <v>0.15</v>
      </c>
      <c r="H24" s="86">
        <f>E24*21.87/200</f>
        <v>16.4025</v>
      </c>
      <c r="I24" s="86">
        <f>E24*90.58/200</f>
        <v>67.935000000000002</v>
      </c>
      <c r="J24" s="117"/>
    </row>
    <row r="25" spans="1:10" ht="15.75" x14ac:dyDescent="0.25">
      <c r="A25" s="12"/>
      <c r="B25" s="13"/>
      <c r="C25" s="130" t="s">
        <v>67</v>
      </c>
      <c r="D25" s="93" t="s">
        <v>65</v>
      </c>
      <c r="E25" s="60">
        <v>20</v>
      </c>
      <c r="F25" s="86">
        <f>E25*7.6/100</f>
        <v>1.52</v>
      </c>
      <c r="G25" s="91">
        <f>E25*0.8/100</f>
        <v>0.16</v>
      </c>
      <c r="H25" s="91">
        <f>E25*49.2/100</f>
        <v>9.84</v>
      </c>
      <c r="I25" s="91">
        <f>E25*235/100</f>
        <v>47</v>
      </c>
      <c r="J25" s="84"/>
    </row>
    <row r="26" spans="1:10" ht="15.75" x14ac:dyDescent="0.25">
      <c r="A26" s="4"/>
      <c r="B26" s="20"/>
      <c r="C26" s="131" t="s">
        <v>86</v>
      </c>
      <c r="D26" s="129" t="s">
        <v>68</v>
      </c>
      <c r="E26" s="60">
        <v>30</v>
      </c>
      <c r="F26" s="86">
        <f>E26*6.6/100</f>
        <v>1.98</v>
      </c>
      <c r="G26" s="91">
        <f>E26*1.2/100</f>
        <v>0.36</v>
      </c>
      <c r="H26" s="91">
        <f>E26*33.4/100</f>
        <v>10.02</v>
      </c>
      <c r="I26" s="91">
        <f>E26*174/100</f>
        <v>52.2</v>
      </c>
      <c r="J26" s="117"/>
    </row>
    <row r="27" spans="1:10" ht="15.75" x14ac:dyDescent="0.25">
      <c r="A27" s="4"/>
      <c r="B27" s="20"/>
      <c r="C27" s="131"/>
      <c r="D27" s="129"/>
      <c r="E27" s="60"/>
      <c r="F27" s="86"/>
      <c r="G27" s="91"/>
      <c r="H27" s="91"/>
      <c r="I27" s="91"/>
      <c r="J27" s="117"/>
    </row>
    <row r="28" spans="1:10" x14ac:dyDescent="0.25">
      <c r="A28" s="105" t="s">
        <v>56</v>
      </c>
      <c r="B28" s="106"/>
      <c r="C28" s="128" t="s">
        <v>89</v>
      </c>
      <c r="D28" s="109" t="s">
        <v>87</v>
      </c>
      <c r="E28" s="107">
        <v>70</v>
      </c>
      <c r="F28" s="108">
        <f>E28*12/160</f>
        <v>5.25</v>
      </c>
      <c r="G28" s="108">
        <f>E28*17.58/160</f>
        <v>7.6912499999999993</v>
      </c>
      <c r="H28" s="108">
        <f>E28*48.25/160</f>
        <v>21.109375</v>
      </c>
      <c r="I28" s="108">
        <f>E28*339.22/160</f>
        <v>148.40875</v>
      </c>
      <c r="J28" s="117"/>
    </row>
    <row r="29" spans="1:10" x14ac:dyDescent="0.25">
      <c r="A29" s="1"/>
      <c r="B29" s="1"/>
      <c r="C29" s="128" t="s">
        <v>90</v>
      </c>
      <c r="D29" s="109" t="s">
        <v>88</v>
      </c>
      <c r="E29" s="107">
        <v>130</v>
      </c>
      <c r="F29" s="108">
        <f>E29*0.68/200</f>
        <v>0.442</v>
      </c>
      <c r="G29" s="108">
        <v>0</v>
      </c>
      <c r="H29" s="108">
        <f>E29*23.05/200</f>
        <v>14.9825</v>
      </c>
      <c r="I29" s="108">
        <f>E29*94.9/200</f>
        <v>61.685000000000002</v>
      </c>
      <c r="J29" s="117"/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97BE-577C-4AE8-A468-EAA108DDFA3B}">
  <dimension ref="A1:J29"/>
  <sheetViews>
    <sheetView topLeftCell="A4" workbookViewId="0">
      <selection activeCell="K24" sqref="K24"/>
    </sheetView>
  </sheetViews>
  <sheetFormatPr defaultRowHeight="15" x14ac:dyDescent="0.25"/>
  <cols>
    <col min="3" max="3" width="5.28515625" customWidth="1"/>
    <col min="4" max="4" width="28" customWidth="1"/>
    <col min="5" max="6" width="6.28515625" customWidth="1"/>
    <col min="7" max="7" width="6.140625" customWidth="1"/>
    <col min="8" max="8" width="6" customWidth="1"/>
    <col min="9" max="9" width="7.5703125" customWidth="1"/>
  </cols>
  <sheetData>
    <row r="1" spans="1:10" x14ac:dyDescent="0.25">
      <c r="A1" s="77" t="s">
        <v>14</v>
      </c>
      <c r="B1" s="77"/>
      <c r="C1" s="77"/>
      <c r="D1" s="77"/>
      <c r="E1" s="77"/>
      <c r="F1" s="77"/>
      <c r="G1" s="77"/>
      <c r="H1" s="77"/>
      <c r="I1" s="77"/>
    </row>
    <row r="3" spans="1:10" ht="18.75" x14ac:dyDescent="0.3">
      <c r="A3" s="4"/>
      <c r="B3" s="4"/>
      <c r="C3" s="4"/>
      <c r="D3" s="4"/>
      <c r="G3" s="73" t="s">
        <v>18</v>
      </c>
      <c r="H3" s="73"/>
      <c r="I3" s="73"/>
    </row>
    <row r="4" spans="1:10" ht="15.75" x14ac:dyDescent="0.25">
      <c r="A4" s="4"/>
      <c r="B4" s="4"/>
      <c r="C4" s="4"/>
      <c r="D4" s="4"/>
      <c r="G4" s="74" t="s">
        <v>19</v>
      </c>
      <c r="H4" s="74"/>
      <c r="I4" s="74"/>
    </row>
    <row r="5" spans="1:10" ht="15.75" x14ac:dyDescent="0.25">
      <c r="A5" s="4"/>
      <c r="B5" s="4"/>
      <c r="C5" s="4"/>
      <c r="D5" s="4"/>
      <c r="G5" s="75" t="s">
        <v>20</v>
      </c>
      <c r="H5" s="75"/>
      <c r="I5" s="75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78" t="s">
        <v>57</v>
      </c>
      <c r="B7" s="79"/>
      <c r="C7" s="79"/>
      <c r="D7" s="79"/>
      <c r="E7" s="39"/>
      <c r="F7" s="39"/>
      <c r="H7" s="80" t="s">
        <v>58</v>
      </c>
      <c r="I7" s="80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78"/>
      <c r="B9" s="79"/>
      <c r="C9" s="79"/>
      <c r="D9" s="79"/>
      <c r="E9" s="76" t="s">
        <v>91</v>
      </c>
      <c r="F9" s="79"/>
      <c r="G9" s="79"/>
      <c r="H9" s="81">
        <v>2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116" t="s">
        <v>12</v>
      </c>
      <c r="D11" s="24" t="s">
        <v>4</v>
      </c>
      <c r="E11" s="26" t="s">
        <v>13</v>
      </c>
      <c r="F11" s="25" t="s">
        <v>21</v>
      </c>
      <c r="G11" s="25" t="s">
        <v>22</v>
      </c>
      <c r="H11" s="33" t="s">
        <v>23</v>
      </c>
      <c r="I11" s="36" t="s">
        <v>24</v>
      </c>
      <c r="J11" s="1"/>
    </row>
    <row r="12" spans="1:10" ht="28.5" customHeight="1" x14ac:dyDescent="0.25">
      <c r="A12" s="82" t="s">
        <v>5</v>
      </c>
      <c r="B12" s="83" t="s">
        <v>60</v>
      </c>
      <c r="C12" s="114" t="s">
        <v>72</v>
      </c>
      <c r="D12" s="109" t="s">
        <v>69</v>
      </c>
      <c r="E12" s="107">
        <v>180</v>
      </c>
      <c r="F12" s="108">
        <f>E12*26.03/1000</f>
        <v>4.6854000000000005</v>
      </c>
      <c r="G12" s="110">
        <f>E12*52.35/1000</f>
        <v>9.423</v>
      </c>
      <c r="H12" s="110">
        <f>E12*191.36/1000</f>
        <v>34.444800000000001</v>
      </c>
      <c r="I12" s="110">
        <f>E12*1356.3/1000</f>
        <v>244.13399999999999</v>
      </c>
      <c r="J12" s="1"/>
    </row>
    <row r="13" spans="1:10" ht="22.5" customHeight="1" x14ac:dyDescent="0.25">
      <c r="A13" s="12"/>
      <c r="B13" s="87" t="s">
        <v>61</v>
      </c>
      <c r="C13" s="114" t="s">
        <v>73</v>
      </c>
      <c r="D13" s="109" t="s">
        <v>70</v>
      </c>
      <c r="E13" s="111">
        <v>180</v>
      </c>
      <c r="F13" s="112">
        <f>E13*0.06/200</f>
        <v>5.3999999999999992E-2</v>
      </c>
      <c r="G13" s="112">
        <f>E13*0.01/200</f>
        <v>9.0000000000000011E-3</v>
      </c>
      <c r="H13" s="112">
        <f>E13*15.25/200</f>
        <v>13.725</v>
      </c>
      <c r="I13" s="112">
        <f>E13*62.5/200</f>
        <v>56.25</v>
      </c>
      <c r="J13" s="1"/>
    </row>
    <row r="14" spans="1:10" ht="15.75" x14ac:dyDescent="0.25">
      <c r="A14" s="12"/>
      <c r="B14" s="132" t="s">
        <v>11</v>
      </c>
      <c r="C14" s="115" t="s">
        <v>62</v>
      </c>
      <c r="D14" s="109" t="s">
        <v>63</v>
      </c>
      <c r="E14" s="60">
        <v>4</v>
      </c>
      <c r="F14" s="86">
        <f>E14*0.5/100</f>
        <v>0.02</v>
      </c>
      <c r="G14" s="86">
        <f>E14*82.5/100</f>
        <v>3.3</v>
      </c>
      <c r="H14" s="86">
        <f>E14*0.8/100</f>
        <v>3.2000000000000001E-2</v>
      </c>
      <c r="I14" s="86">
        <f>E14*748/100</f>
        <v>29.92</v>
      </c>
      <c r="J14" s="1"/>
    </row>
    <row r="15" spans="1:10" ht="15.75" x14ac:dyDescent="0.25">
      <c r="A15" s="12"/>
      <c r="B15" s="90"/>
      <c r="C15" s="115" t="s">
        <v>74</v>
      </c>
      <c r="D15" s="109" t="s">
        <v>71</v>
      </c>
      <c r="E15" s="60">
        <v>10</v>
      </c>
      <c r="F15" s="86">
        <f>E15*5.1/40</f>
        <v>1.2749999999999999</v>
      </c>
      <c r="G15" s="86">
        <f>E15*4.6/40</f>
        <v>1.1499999999999999</v>
      </c>
      <c r="H15" s="86">
        <f>E15*0.3/40</f>
        <v>7.4999999999999997E-2</v>
      </c>
      <c r="I15" s="86">
        <f>E15*63/40</f>
        <v>15.75</v>
      </c>
      <c r="J15" s="1"/>
    </row>
    <row r="16" spans="1:10" ht="16.5" thickBot="1" x14ac:dyDescent="0.3">
      <c r="A16" s="15"/>
      <c r="B16" s="92"/>
      <c r="C16" s="115" t="s">
        <v>64</v>
      </c>
      <c r="D16" s="109" t="s">
        <v>65</v>
      </c>
      <c r="E16" s="60">
        <v>29</v>
      </c>
      <c r="F16" s="86">
        <f>E16*7.6/100</f>
        <v>2.2039999999999997</v>
      </c>
      <c r="G16" s="91">
        <f>E16*0.8/100</f>
        <v>0.23200000000000004</v>
      </c>
      <c r="H16" s="91">
        <f>E16*49.2/100</f>
        <v>14.268000000000002</v>
      </c>
      <c r="I16" s="91">
        <f>E16*235/100</f>
        <v>68.150000000000006</v>
      </c>
      <c r="J16" s="1"/>
    </row>
    <row r="17" spans="1:10" ht="15.75" x14ac:dyDescent="0.25">
      <c r="A17" s="12"/>
      <c r="B17" s="90"/>
      <c r="C17" s="94"/>
      <c r="D17" s="2"/>
      <c r="E17" s="28"/>
      <c r="F17" s="38"/>
      <c r="G17" s="38"/>
      <c r="H17" s="38"/>
      <c r="I17" s="38"/>
      <c r="J17" s="1"/>
    </row>
    <row r="18" spans="1:10" ht="15.75" x14ac:dyDescent="0.25">
      <c r="A18" s="95" t="s">
        <v>66</v>
      </c>
      <c r="B18" s="96"/>
      <c r="C18" s="97" t="s">
        <v>76</v>
      </c>
      <c r="D18" s="109" t="s">
        <v>75</v>
      </c>
      <c r="E18" s="60">
        <v>100</v>
      </c>
      <c r="F18" s="91">
        <f>E18*0.5/100</f>
        <v>0.5</v>
      </c>
      <c r="G18" s="91">
        <f>E18*0.1/100</f>
        <v>0.1</v>
      </c>
      <c r="H18" s="91">
        <f>E18*10.1/100</f>
        <v>10.1</v>
      </c>
      <c r="I18" s="91">
        <f>E18*46/100</f>
        <v>46</v>
      </c>
      <c r="J18" s="1"/>
    </row>
    <row r="19" spans="1:10" ht="16.5" thickBot="1" x14ac:dyDescent="0.3">
      <c r="A19" s="15"/>
      <c r="B19" s="16"/>
      <c r="C19" s="98"/>
      <c r="D19" s="29"/>
      <c r="E19" s="3"/>
      <c r="F19" s="17"/>
      <c r="G19" s="17"/>
      <c r="H19" s="34"/>
      <c r="I19" s="99"/>
      <c r="J19" s="1"/>
    </row>
    <row r="20" spans="1:10" ht="30.75" customHeight="1" x14ac:dyDescent="0.25">
      <c r="A20" s="100" t="s">
        <v>6</v>
      </c>
      <c r="B20" s="118" t="s">
        <v>7</v>
      </c>
      <c r="C20" s="127" t="s">
        <v>77</v>
      </c>
      <c r="D20" s="85" t="s">
        <v>42</v>
      </c>
      <c r="E20" s="107">
        <v>60</v>
      </c>
      <c r="F20" s="108">
        <f>E20*1.64/100</f>
        <v>0.98399999999999987</v>
      </c>
      <c r="G20" s="110">
        <f>E20*10.1/100</f>
        <v>6.06</v>
      </c>
      <c r="H20" s="110">
        <f>E20*9.63/100</f>
        <v>5.7780000000000005</v>
      </c>
      <c r="I20" s="110">
        <f>E20*136.87/100</f>
        <v>82.122000000000014</v>
      </c>
      <c r="J20" s="117"/>
    </row>
    <row r="21" spans="1:10" ht="15.75" x14ac:dyDescent="0.25">
      <c r="A21" s="12"/>
      <c r="B21" s="30" t="s">
        <v>8</v>
      </c>
      <c r="C21" s="128" t="s">
        <v>81</v>
      </c>
      <c r="D21" s="119" t="s">
        <v>78</v>
      </c>
      <c r="E21" s="120">
        <v>200</v>
      </c>
      <c r="F21" s="121">
        <f>E21*6.33/1000</f>
        <v>1.266</v>
      </c>
      <c r="G21" s="121">
        <f>E21*17.56/1000</f>
        <v>3.5119999999999996</v>
      </c>
      <c r="H21" s="121">
        <f>E21*25.95/1000</f>
        <v>5.19</v>
      </c>
      <c r="I21" s="121">
        <f>E21*335.97/1000</f>
        <v>67.194000000000003</v>
      </c>
      <c r="J21" s="113"/>
    </row>
    <row r="22" spans="1:10" ht="15.75" x14ac:dyDescent="0.25">
      <c r="A22" s="12"/>
      <c r="B22" s="104" t="s">
        <v>53</v>
      </c>
      <c r="C22" s="128" t="s">
        <v>82</v>
      </c>
      <c r="D22" s="122" t="s">
        <v>79</v>
      </c>
      <c r="E22" s="123">
        <v>130</v>
      </c>
      <c r="F22" s="124">
        <f>E22*24.771/1000</f>
        <v>3.2202299999999999</v>
      </c>
      <c r="G22" s="124">
        <f>E22*40.7/1000</f>
        <v>5.2910000000000004</v>
      </c>
      <c r="H22" s="124">
        <f>E22*248.66/1000</f>
        <v>32.325800000000001</v>
      </c>
      <c r="I22" s="124">
        <f>E22*1494.9/1000</f>
        <v>194.33699999999999</v>
      </c>
      <c r="J22" s="113"/>
    </row>
    <row r="23" spans="1:10" ht="15.75" x14ac:dyDescent="0.25">
      <c r="A23" s="12"/>
      <c r="B23" s="31" t="s">
        <v>9</v>
      </c>
      <c r="C23" s="128" t="s">
        <v>83</v>
      </c>
      <c r="D23" s="122" t="s">
        <v>80</v>
      </c>
      <c r="E23" s="125">
        <v>80</v>
      </c>
      <c r="F23" s="126">
        <f>E23*14.49/100</f>
        <v>11.592000000000001</v>
      </c>
      <c r="G23" s="126">
        <f>E23*2.36/100</f>
        <v>1.8879999999999999</v>
      </c>
      <c r="H23" s="126">
        <f>E23*5.72/100</f>
        <v>4.5759999999999996</v>
      </c>
      <c r="I23" s="126">
        <f>E23*102.2/100</f>
        <v>81.760000000000005</v>
      </c>
      <c r="J23" s="113"/>
    </row>
    <row r="24" spans="1:10" ht="29.25" customHeight="1" x14ac:dyDescent="0.25">
      <c r="A24" s="12"/>
      <c r="B24" s="32"/>
      <c r="C24" s="101" t="s">
        <v>85</v>
      </c>
      <c r="D24" s="89" t="s">
        <v>84</v>
      </c>
      <c r="E24" s="60">
        <v>180</v>
      </c>
      <c r="F24" s="86">
        <f>E24*0.33/200</f>
        <v>0.29700000000000004</v>
      </c>
      <c r="G24" s="86">
        <f>E24*0.2/200</f>
        <v>0.18</v>
      </c>
      <c r="H24" s="86">
        <f>E24*21.87/200</f>
        <v>19.683000000000003</v>
      </c>
      <c r="I24" s="86">
        <f>E24*90.58/200</f>
        <v>81.521999999999991</v>
      </c>
      <c r="J24" s="117"/>
    </row>
    <row r="25" spans="1:10" ht="15.75" x14ac:dyDescent="0.25">
      <c r="A25" s="12"/>
      <c r="B25" s="13"/>
      <c r="C25" s="130" t="s">
        <v>67</v>
      </c>
      <c r="D25" s="93" t="s">
        <v>65</v>
      </c>
      <c r="E25" s="60">
        <v>25</v>
      </c>
      <c r="F25" s="86">
        <f>E25*7.6/100</f>
        <v>1.9</v>
      </c>
      <c r="G25" s="91">
        <f>E25*0.8/100</f>
        <v>0.2</v>
      </c>
      <c r="H25" s="91">
        <f>E25*49.2/100</f>
        <v>12.3</v>
      </c>
      <c r="I25" s="91">
        <f>E25*235/100</f>
        <v>58.75</v>
      </c>
      <c r="J25" s="84"/>
    </row>
    <row r="26" spans="1:10" ht="15.75" x14ac:dyDescent="0.25">
      <c r="A26" s="4"/>
      <c r="B26" s="20"/>
      <c r="C26" s="131" t="s">
        <v>86</v>
      </c>
      <c r="D26" s="129" t="s">
        <v>68</v>
      </c>
      <c r="E26" s="60">
        <v>38</v>
      </c>
      <c r="F26" s="86">
        <f>E26*6.6/100</f>
        <v>2.508</v>
      </c>
      <c r="G26" s="91">
        <f>E26*1.2/100</f>
        <v>0.45600000000000002</v>
      </c>
      <c r="H26" s="91">
        <f>E26*33.4/100</f>
        <v>12.692</v>
      </c>
      <c r="I26" s="91">
        <f>E26*174/100</f>
        <v>66.12</v>
      </c>
      <c r="J26" s="117"/>
    </row>
    <row r="27" spans="1:10" ht="15.75" x14ac:dyDescent="0.25">
      <c r="A27" s="4"/>
      <c r="B27" s="20"/>
      <c r="C27" s="131"/>
      <c r="D27" s="129"/>
      <c r="E27" s="60"/>
      <c r="F27" s="86"/>
      <c r="G27" s="91"/>
      <c r="H27" s="91"/>
      <c r="I27" s="91"/>
      <c r="J27" s="117"/>
    </row>
    <row r="28" spans="1:10" x14ac:dyDescent="0.25">
      <c r="A28" s="105" t="s">
        <v>56</v>
      </c>
      <c r="B28" s="106"/>
      <c r="C28" s="128" t="s">
        <v>89</v>
      </c>
      <c r="D28" s="109" t="s">
        <v>87</v>
      </c>
      <c r="E28" s="107">
        <v>90</v>
      </c>
      <c r="F28" s="108">
        <f>E28*12/160</f>
        <v>6.75</v>
      </c>
      <c r="G28" s="108">
        <f>E28*17.58/160</f>
        <v>9.8887499999999982</v>
      </c>
      <c r="H28" s="108">
        <f>E28*48.25/160</f>
        <v>27.140625</v>
      </c>
      <c r="I28" s="108">
        <f>E28*339.22/160</f>
        <v>190.81125000000003</v>
      </c>
      <c r="J28" s="117"/>
    </row>
    <row r="29" spans="1:10" x14ac:dyDescent="0.25">
      <c r="A29" s="1"/>
      <c r="B29" s="1"/>
      <c r="C29" s="128" t="s">
        <v>90</v>
      </c>
      <c r="D29" s="109" t="s">
        <v>88</v>
      </c>
      <c r="E29" s="107">
        <v>160</v>
      </c>
      <c r="F29" s="108">
        <f>E29*0.68/200</f>
        <v>0.54400000000000004</v>
      </c>
      <c r="G29" s="108">
        <v>0</v>
      </c>
      <c r="H29" s="108">
        <f>E29*23.05/200</f>
        <v>18.440000000000001</v>
      </c>
      <c r="I29" s="108">
        <f>E29*94.9/200</f>
        <v>75.92</v>
      </c>
      <c r="J29" s="117"/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3-х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2025-09-14T15:33:28Z</cp:lastPrinted>
  <dcterms:created xsi:type="dcterms:W3CDTF">2015-06-05T18:19:34Z</dcterms:created>
  <dcterms:modified xsi:type="dcterms:W3CDTF">2025-10-05T13:19:50Z</dcterms:modified>
</cp:coreProperties>
</file>